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xl/comments2.xml" ContentType="application/vnd.openxmlformats-officedocument.spreadsheetml.comments+xml"/>
  <Override PartName="/xl/comments1.xml" ContentType="application/vnd.openxmlformats-officedocument.spreadsheetml.comment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51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/Users/rvd/Documents/RvD Enterprises/Commercial/Projects/ANZG DGVs assistance/Additional DGV issues/Metsulfuron methyl/Final version_March 2020/"/>
    </mc:Choice>
  </mc:AlternateContent>
  <xr:revisionPtr revIDLastSave="0" documentId="13_ncr:1_{1CDFE595-313D-6F4E-8A92-484F46235907}" xr6:coauthVersionLast="45" xr6:coauthVersionMax="45" xr10:uidLastSave="{00000000-0000-0000-0000-000000000000}"/>
  <bookViews>
    <workbookView xWindow="0" yWindow="460" windowWidth="36640" windowHeight="18640" xr2:uid="{00000000-000D-0000-FFFF-FFFF00000000}"/>
  </bookViews>
  <sheets>
    <sheet name="Metsulf-methyl_fresh_tox data" sheetId="1" r:id="rId1"/>
    <sheet name="Conversion tables" sheetId="4" r:id="rId2"/>
  </sheets>
  <definedNames>
    <definedName name="_xlnm._FilterDatabase" localSheetId="0" hidden="1">'Metsulf-methyl_fresh_tox data'!$A$7:$W$114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K80" i="1" l="1"/>
  <c r="AH70" i="1" l="1"/>
  <c r="AG70" i="1"/>
  <c r="AF70" i="1"/>
  <c r="AH69" i="1"/>
  <c r="AG69" i="1"/>
  <c r="AF69" i="1"/>
  <c r="AB70" i="1"/>
  <c r="AC70" i="1" s="1"/>
  <c r="Y70" i="1"/>
  <c r="Z70" i="1" s="1"/>
  <c r="AI70" i="1" s="1"/>
  <c r="V70" i="1"/>
  <c r="W70" i="1" s="1"/>
  <c r="AB69" i="1"/>
  <c r="AC69" i="1" s="1"/>
  <c r="Y69" i="1"/>
  <c r="Z69" i="1" s="1"/>
  <c r="V69" i="1"/>
  <c r="W69" i="1" s="1"/>
  <c r="AM30" i="1"/>
  <c r="AK30" i="1"/>
  <c r="AH30" i="1"/>
  <c r="AG30" i="1"/>
  <c r="AF30" i="1"/>
  <c r="AB30" i="1"/>
  <c r="AC30" i="1" s="1"/>
  <c r="Y30" i="1"/>
  <c r="Z30" i="1" s="1"/>
  <c r="V30" i="1"/>
  <c r="W30" i="1" s="1"/>
  <c r="AH37" i="1"/>
  <c r="AG37" i="1"/>
  <c r="AF37" i="1"/>
  <c r="AB37" i="1"/>
  <c r="AC37" i="1" s="1"/>
  <c r="Y37" i="1"/>
  <c r="Z37" i="1" s="1"/>
  <c r="V37" i="1"/>
  <c r="W37" i="1" s="1"/>
  <c r="AA69" i="1" l="1"/>
  <c r="AD69" i="1" s="1"/>
  <c r="AI69" i="1"/>
  <c r="AI30" i="1"/>
  <c r="AA70" i="1"/>
  <c r="AD70" i="1" s="1"/>
  <c r="AA30" i="1"/>
  <c r="AD30" i="1" s="1"/>
  <c r="AP30" i="1" s="1"/>
  <c r="AQ30" i="1" s="1"/>
  <c r="AR30" i="1" s="1"/>
  <c r="AA37" i="1"/>
  <c r="AD37" i="1" s="1"/>
  <c r="AI37" i="1"/>
  <c r="AM41" i="1"/>
  <c r="AM40" i="1"/>
  <c r="AK41" i="1"/>
  <c r="AK40" i="1"/>
  <c r="AH43" i="1"/>
  <c r="AG43" i="1"/>
  <c r="AF43" i="1"/>
  <c r="AH42" i="1"/>
  <c r="AG42" i="1"/>
  <c r="AF42" i="1"/>
  <c r="AH41" i="1"/>
  <c r="AG41" i="1"/>
  <c r="AF41" i="1"/>
  <c r="AH40" i="1"/>
  <c r="AG40" i="1"/>
  <c r="AF40" i="1"/>
  <c r="AH39" i="1"/>
  <c r="AG39" i="1"/>
  <c r="AF39" i="1"/>
  <c r="AB40" i="1"/>
  <c r="AC40" i="1" s="1"/>
  <c r="AB39" i="1"/>
  <c r="AC39" i="1" s="1"/>
  <c r="AB43" i="1"/>
  <c r="AC43" i="1" s="1"/>
  <c r="AB42" i="1"/>
  <c r="AC42" i="1" s="1"/>
  <c r="AB41" i="1"/>
  <c r="AC41" i="1" s="1"/>
  <c r="Y43" i="1"/>
  <c r="Z43" i="1" s="1"/>
  <c r="V43" i="1"/>
  <c r="W43" i="1" s="1"/>
  <c r="Y42" i="1"/>
  <c r="Z42" i="1" s="1"/>
  <c r="V42" i="1"/>
  <c r="W42" i="1" s="1"/>
  <c r="Y41" i="1"/>
  <c r="Z41" i="1" s="1"/>
  <c r="V41" i="1"/>
  <c r="W41" i="1" s="1"/>
  <c r="Y40" i="1"/>
  <c r="Z40" i="1" s="1"/>
  <c r="V40" i="1"/>
  <c r="W40" i="1" s="1"/>
  <c r="Y39" i="1"/>
  <c r="Z39" i="1" s="1"/>
  <c r="V39" i="1"/>
  <c r="W39" i="1" s="1"/>
  <c r="AH68" i="1"/>
  <c r="AG68" i="1"/>
  <c r="AF68" i="1"/>
  <c r="AH67" i="1"/>
  <c r="AG67" i="1"/>
  <c r="AF67" i="1"/>
  <c r="AH66" i="1"/>
  <c r="AG66" i="1"/>
  <c r="AF66" i="1"/>
  <c r="AH65" i="1"/>
  <c r="AG65" i="1"/>
  <c r="AF65" i="1"/>
  <c r="AB68" i="1"/>
  <c r="AC68" i="1" s="1"/>
  <c r="Y68" i="1"/>
  <c r="Z68" i="1" s="1"/>
  <c r="V68" i="1"/>
  <c r="W68" i="1" s="1"/>
  <c r="AB67" i="1"/>
  <c r="AC67" i="1" s="1"/>
  <c r="Y67" i="1"/>
  <c r="Z67" i="1" s="1"/>
  <c r="V67" i="1"/>
  <c r="W67" i="1" s="1"/>
  <c r="AB66" i="1"/>
  <c r="AC66" i="1" s="1"/>
  <c r="Y66" i="1"/>
  <c r="Z66" i="1" s="1"/>
  <c r="V66" i="1"/>
  <c r="W66" i="1" s="1"/>
  <c r="AB65" i="1"/>
  <c r="AC65" i="1" s="1"/>
  <c r="Y65" i="1"/>
  <c r="Z65" i="1" s="1"/>
  <c r="V65" i="1"/>
  <c r="W65" i="1" s="1"/>
  <c r="AA39" i="1" l="1"/>
  <c r="AD39" i="1" s="1"/>
  <c r="AA67" i="1"/>
  <c r="AD67" i="1" s="1"/>
  <c r="AA41" i="1"/>
  <c r="AD41" i="1" s="1"/>
  <c r="AP41" i="1" s="1"/>
  <c r="AI41" i="1"/>
  <c r="AI66" i="1"/>
  <c r="AI68" i="1"/>
  <c r="AA42" i="1"/>
  <c r="AD42" i="1" s="1"/>
  <c r="AI42" i="1"/>
  <c r="AI39" i="1"/>
  <c r="AI40" i="1"/>
  <c r="AI43" i="1"/>
  <c r="AA65" i="1"/>
  <c r="AD65" i="1" s="1"/>
  <c r="AI65" i="1"/>
  <c r="AI67" i="1"/>
  <c r="AA40" i="1"/>
  <c r="AD40" i="1" s="1"/>
  <c r="AP40" i="1" s="1"/>
  <c r="AA43" i="1"/>
  <c r="AD43" i="1" s="1"/>
  <c r="AA66" i="1"/>
  <c r="AD66" i="1" s="1"/>
  <c r="AA68" i="1"/>
  <c r="AD68" i="1" s="1"/>
  <c r="AM64" i="1"/>
  <c r="AK64" i="1"/>
  <c r="AM63" i="1"/>
  <c r="AK63" i="1"/>
  <c r="AM62" i="1"/>
  <c r="AK62" i="1"/>
  <c r="AM61" i="1"/>
  <c r="AK61" i="1"/>
  <c r="AH57" i="1"/>
  <c r="AG57" i="1"/>
  <c r="AF57" i="1"/>
  <c r="AH64" i="1"/>
  <c r="AG64" i="1"/>
  <c r="AF64" i="1"/>
  <c r="AH63" i="1"/>
  <c r="AG63" i="1"/>
  <c r="AF63" i="1"/>
  <c r="AH62" i="1"/>
  <c r="AG62" i="1"/>
  <c r="AF62" i="1"/>
  <c r="AH61" i="1"/>
  <c r="AG61" i="1"/>
  <c r="AF61" i="1"/>
  <c r="AH60" i="1"/>
  <c r="AG60" i="1"/>
  <c r="AF60" i="1"/>
  <c r="AH59" i="1"/>
  <c r="AG59" i="1"/>
  <c r="AF59" i="1"/>
  <c r="AH58" i="1"/>
  <c r="AG58" i="1"/>
  <c r="AF58" i="1"/>
  <c r="AB64" i="1"/>
  <c r="AC64" i="1" s="1"/>
  <c r="Y64" i="1"/>
  <c r="Z64" i="1" s="1"/>
  <c r="AB63" i="1"/>
  <c r="AC63" i="1" s="1"/>
  <c r="Y63" i="1"/>
  <c r="Z63" i="1" s="1"/>
  <c r="AB62" i="1"/>
  <c r="AC62" i="1" s="1"/>
  <c r="Y62" i="1"/>
  <c r="Z62" i="1" s="1"/>
  <c r="AB61" i="1"/>
  <c r="AC61" i="1" s="1"/>
  <c r="Y61" i="1"/>
  <c r="Z61" i="1" s="1"/>
  <c r="AB60" i="1"/>
  <c r="AC60" i="1" s="1"/>
  <c r="Y60" i="1"/>
  <c r="Z60" i="1" s="1"/>
  <c r="AB59" i="1"/>
  <c r="AC59" i="1" s="1"/>
  <c r="Y59" i="1"/>
  <c r="Z59" i="1" s="1"/>
  <c r="AB58" i="1"/>
  <c r="AC58" i="1" s="1"/>
  <c r="Y58" i="1"/>
  <c r="Z58" i="1" s="1"/>
  <c r="AB57" i="1"/>
  <c r="AC57" i="1" s="1"/>
  <c r="Y57" i="1"/>
  <c r="Z57" i="1" s="1"/>
  <c r="W64" i="1"/>
  <c r="W63" i="1"/>
  <c r="W62" i="1"/>
  <c r="W61" i="1"/>
  <c r="W60" i="1"/>
  <c r="W59" i="1"/>
  <c r="W58" i="1"/>
  <c r="W57" i="1"/>
  <c r="AH81" i="1"/>
  <c r="AG81" i="1"/>
  <c r="AF81" i="1"/>
  <c r="AB81" i="1"/>
  <c r="AC81" i="1" s="1"/>
  <c r="Y81" i="1"/>
  <c r="Z81" i="1" s="1"/>
  <c r="V81" i="1"/>
  <c r="W81" i="1" s="1"/>
  <c r="AA58" i="1" l="1"/>
  <c r="AD58" i="1" s="1"/>
  <c r="AA59" i="1"/>
  <c r="AD59" i="1" s="1"/>
  <c r="AI81" i="1"/>
  <c r="AA63" i="1"/>
  <c r="AD63" i="1" s="1"/>
  <c r="AP63" i="1" s="1"/>
  <c r="AA62" i="1"/>
  <c r="AD62" i="1" s="1"/>
  <c r="AP62" i="1" s="1"/>
  <c r="AA57" i="1"/>
  <c r="AD57" i="1" s="1"/>
  <c r="AA60" i="1"/>
  <c r="AD60" i="1" s="1"/>
  <c r="AA81" i="1"/>
  <c r="AD81" i="1" s="1"/>
  <c r="AA61" i="1"/>
  <c r="AD61" i="1" s="1"/>
  <c r="AP61" i="1" s="1"/>
  <c r="AA64" i="1"/>
  <c r="AD64" i="1" s="1"/>
  <c r="AP64" i="1" s="1"/>
  <c r="AI59" i="1"/>
  <c r="AI61" i="1"/>
  <c r="AI63" i="1"/>
  <c r="AI57" i="1"/>
  <c r="AI58" i="1"/>
  <c r="AI60" i="1"/>
  <c r="AI62" i="1"/>
  <c r="AI64" i="1"/>
  <c r="AW108" i="1"/>
  <c r="AX108" i="1"/>
  <c r="AY108" i="1"/>
  <c r="AZ108" i="1"/>
  <c r="BA108" i="1"/>
  <c r="AK108" i="1"/>
  <c r="AM108" i="1"/>
  <c r="W10" i="1"/>
  <c r="BA87" i="1" l="1"/>
  <c r="AZ87" i="1"/>
  <c r="AY87" i="1"/>
  <c r="AX87" i="1"/>
  <c r="AW87" i="1"/>
  <c r="AM27" i="1"/>
  <c r="AK27" i="1"/>
  <c r="AH27" i="1"/>
  <c r="AG27" i="1"/>
  <c r="AF27" i="1"/>
  <c r="AH26" i="1"/>
  <c r="AG26" i="1"/>
  <c r="AF26" i="1"/>
  <c r="AB27" i="1"/>
  <c r="AC27" i="1" s="1"/>
  <c r="Y27" i="1"/>
  <c r="Z27" i="1" s="1"/>
  <c r="V27" i="1"/>
  <c r="W27" i="1" s="1"/>
  <c r="AB26" i="1"/>
  <c r="AC26" i="1" s="1"/>
  <c r="Y26" i="1"/>
  <c r="Z26" i="1" s="1"/>
  <c r="V26" i="1"/>
  <c r="W26" i="1" s="1"/>
  <c r="BA75" i="1"/>
  <c r="AZ75" i="1"/>
  <c r="AY75" i="1"/>
  <c r="AX75" i="1"/>
  <c r="AW75" i="1"/>
  <c r="AM77" i="1"/>
  <c r="AK77" i="1"/>
  <c r="AM76" i="1"/>
  <c r="AK76" i="1"/>
  <c r="AM75" i="1"/>
  <c r="AK75" i="1"/>
  <c r="AH77" i="1"/>
  <c r="AG77" i="1"/>
  <c r="AF77" i="1"/>
  <c r="AH76" i="1"/>
  <c r="AG76" i="1"/>
  <c r="AF76" i="1"/>
  <c r="AH75" i="1"/>
  <c r="AG75" i="1"/>
  <c r="AF75" i="1"/>
  <c r="AB77" i="1"/>
  <c r="AC77" i="1" s="1"/>
  <c r="Y77" i="1"/>
  <c r="Z77" i="1" s="1"/>
  <c r="V77" i="1"/>
  <c r="W77" i="1" s="1"/>
  <c r="AB76" i="1"/>
  <c r="AC76" i="1" s="1"/>
  <c r="Y76" i="1"/>
  <c r="Z76" i="1" s="1"/>
  <c r="V76" i="1"/>
  <c r="W76" i="1" s="1"/>
  <c r="AB75" i="1"/>
  <c r="AC75" i="1" s="1"/>
  <c r="Y75" i="1"/>
  <c r="Z75" i="1" s="1"/>
  <c r="V75" i="1"/>
  <c r="W75" i="1" s="1"/>
  <c r="AM87" i="1"/>
  <c r="AK87" i="1"/>
  <c r="AH87" i="1"/>
  <c r="AG87" i="1"/>
  <c r="AF87" i="1"/>
  <c r="AB87" i="1"/>
  <c r="AC87" i="1" s="1"/>
  <c r="Y87" i="1"/>
  <c r="Z87" i="1" s="1"/>
  <c r="V87" i="1"/>
  <c r="W87" i="1" s="1"/>
  <c r="BA97" i="1"/>
  <c r="AZ97" i="1"/>
  <c r="AY97" i="1"/>
  <c r="AX97" i="1"/>
  <c r="AW97" i="1"/>
  <c r="AM97" i="1"/>
  <c r="AK97" i="1"/>
  <c r="AH97" i="1"/>
  <c r="AG97" i="1"/>
  <c r="AF97" i="1"/>
  <c r="AB97" i="1"/>
  <c r="AC97" i="1" s="1"/>
  <c r="Y97" i="1"/>
  <c r="Z97" i="1" s="1"/>
  <c r="V97" i="1"/>
  <c r="W97" i="1" s="1"/>
  <c r="AM49" i="1"/>
  <c r="AK49" i="1"/>
  <c r="AH49" i="1"/>
  <c r="AG49" i="1"/>
  <c r="AF49" i="1"/>
  <c r="AB49" i="1"/>
  <c r="AC49" i="1" s="1"/>
  <c r="Y49" i="1"/>
  <c r="Z49" i="1" s="1"/>
  <c r="V49" i="1"/>
  <c r="W49" i="1" s="1"/>
  <c r="AM99" i="1"/>
  <c r="AK99" i="1"/>
  <c r="AH99" i="1"/>
  <c r="AG99" i="1"/>
  <c r="AF99" i="1"/>
  <c r="AB99" i="1"/>
  <c r="AC99" i="1" s="1"/>
  <c r="Y99" i="1"/>
  <c r="Z99" i="1" s="1"/>
  <c r="V99" i="1"/>
  <c r="W99" i="1" s="1"/>
  <c r="AK84" i="1"/>
  <c r="AA75" i="1" l="1"/>
  <c r="AA27" i="1"/>
  <c r="AD27" i="1" s="1"/>
  <c r="AP27" i="1" s="1"/>
  <c r="AQ27" i="1" s="1"/>
  <c r="AR27" i="1" s="1"/>
  <c r="AI87" i="1"/>
  <c r="BB87" i="1" s="1"/>
  <c r="AI27" i="1"/>
  <c r="AI26" i="1"/>
  <c r="AI77" i="1"/>
  <c r="AI97" i="1"/>
  <c r="BB97" i="1" s="1"/>
  <c r="AA76" i="1"/>
  <c r="AD76" i="1" s="1"/>
  <c r="AP76" i="1" s="1"/>
  <c r="AD75" i="1"/>
  <c r="AP75" i="1" s="1"/>
  <c r="AI75" i="1"/>
  <c r="BB75" i="1" s="1"/>
  <c r="AA77" i="1"/>
  <c r="AD77" i="1" s="1"/>
  <c r="AP77" i="1" s="1"/>
  <c r="AQ77" i="1" s="1"/>
  <c r="AR77" i="1" s="1"/>
  <c r="AA26" i="1"/>
  <c r="AD26" i="1" s="1"/>
  <c r="AI76" i="1"/>
  <c r="AA87" i="1"/>
  <c r="AD87" i="1" s="1"/>
  <c r="AP87" i="1" s="1"/>
  <c r="AQ87" i="1" s="1"/>
  <c r="AR87" i="1" s="1"/>
  <c r="AS87" i="1" s="1"/>
  <c r="AA97" i="1"/>
  <c r="AD97" i="1" s="1"/>
  <c r="AP97" i="1" s="1"/>
  <c r="AQ97" i="1" s="1"/>
  <c r="AI49" i="1"/>
  <c r="AI99" i="1"/>
  <c r="AA49" i="1"/>
  <c r="AD49" i="1" s="1"/>
  <c r="AP49" i="1" s="1"/>
  <c r="AQ49" i="1" s="1"/>
  <c r="AR49" i="1" s="1"/>
  <c r="AA99" i="1"/>
  <c r="AD99" i="1" s="1"/>
  <c r="AP99" i="1" s="1"/>
  <c r="AQ99" i="1" s="1"/>
  <c r="AQ75" i="1" l="1"/>
  <c r="AR75" i="1" s="1"/>
  <c r="AS75" i="1" s="1"/>
  <c r="BC75" i="1" s="1"/>
  <c r="AJ77" i="1"/>
  <c r="AJ75" i="1"/>
  <c r="BC87" i="1"/>
  <c r="AJ76" i="1"/>
  <c r="AR97" i="1"/>
  <c r="W109" i="1"/>
  <c r="W108" i="1"/>
  <c r="W107" i="1"/>
  <c r="Y92" i="1" l="1"/>
  <c r="Z92" i="1" s="1"/>
  <c r="AG95" i="1" l="1"/>
  <c r="BA113" i="1" l="1"/>
  <c r="AZ113" i="1"/>
  <c r="AY113" i="1"/>
  <c r="AX113" i="1"/>
  <c r="AW113" i="1"/>
  <c r="BA111" i="1"/>
  <c r="AZ111" i="1"/>
  <c r="AY111" i="1"/>
  <c r="AX111" i="1"/>
  <c r="AW111" i="1"/>
  <c r="BA105" i="1"/>
  <c r="AZ105" i="1"/>
  <c r="AY105" i="1"/>
  <c r="AX105" i="1"/>
  <c r="AW105" i="1"/>
  <c r="BA89" i="1"/>
  <c r="AZ89" i="1"/>
  <c r="AY89" i="1"/>
  <c r="AX89" i="1"/>
  <c r="AW89" i="1"/>
  <c r="BA84" i="1"/>
  <c r="AZ84" i="1"/>
  <c r="AY84" i="1"/>
  <c r="AX84" i="1"/>
  <c r="AW84" i="1"/>
  <c r="BA79" i="1"/>
  <c r="AZ79" i="1"/>
  <c r="AY79" i="1"/>
  <c r="AX79" i="1"/>
  <c r="AW79" i="1"/>
  <c r="BA72" i="1"/>
  <c r="AZ72" i="1"/>
  <c r="AY72" i="1"/>
  <c r="AX72" i="1"/>
  <c r="AW72" i="1"/>
  <c r="BA46" i="1"/>
  <c r="AZ46" i="1"/>
  <c r="AY46" i="1"/>
  <c r="AX46" i="1"/>
  <c r="AW46" i="1"/>
  <c r="BA32" i="1"/>
  <c r="AZ32" i="1"/>
  <c r="AY32" i="1"/>
  <c r="AX32" i="1"/>
  <c r="AW32" i="1"/>
  <c r="BA22" i="1"/>
  <c r="AZ22" i="1"/>
  <c r="AY22" i="1"/>
  <c r="AX22" i="1"/>
  <c r="AW22" i="1"/>
  <c r="BA19" i="1"/>
  <c r="AZ19" i="1"/>
  <c r="AY19" i="1"/>
  <c r="AX19" i="1"/>
  <c r="AW19" i="1"/>
  <c r="BA17" i="1"/>
  <c r="AZ17" i="1"/>
  <c r="AY17" i="1"/>
  <c r="AX17" i="1"/>
  <c r="AW17" i="1"/>
  <c r="BA14" i="1"/>
  <c r="AZ14" i="1"/>
  <c r="AY14" i="1"/>
  <c r="AX14" i="1"/>
  <c r="AW14" i="1"/>
  <c r="BA12" i="1"/>
  <c r="AZ12" i="1"/>
  <c r="AY12" i="1"/>
  <c r="AX12" i="1"/>
  <c r="AW12" i="1"/>
  <c r="BA10" i="1"/>
  <c r="AZ10" i="1"/>
  <c r="AY10" i="1"/>
  <c r="AX10" i="1"/>
  <c r="AW10" i="1"/>
  <c r="AM113" i="1"/>
  <c r="AM114" i="1"/>
  <c r="AM111" i="1"/>
  <c r="AM89" i="1"/>
  <c r="AM73" i="1"/>
  <c r="AM72" i="1"/>
  <c r="AM17" i="1"/>
  <c r="AM15" i="1"/>
  <c r="AM14" i="1"/>
  <c r="AM12" i="1"/>
  <c r="AM10" i="1"/>
  <c r="AK24" i="1"/>
  <c r="AK23" i="1"/>
  <c r="AK22" i="1"/>
  <c r="AK20" i="1"/>
  <c r="AK19" i="1"/>
  <c r="AK17" i="1"/>
  <c r="AK15" i="1"/>
  <c r="AK14" i="1"/>
  <c r="AK12" i="1"/>
  <c r="AK10" i="1"/>
  <c r="AK114" i="1"/>
  <c r="AK113" i="1"/>
  <c r="AK111" i="1"/>
  <c r="AK89" i="1"/>
  <c r="AK73" i="1"/>
  <c r="AK72" i="1"/>
  <c r="AH89" i="1"/>
  <c r="AH113" i="1"/>
  <c r="AH114" i="1"/>
  <c r="AH111" i="1"/>
  <c r="AH103" i="1"/>
  <c r="AH102" i="1"/>
  <c r="AH101" i="1"/>
  <c r="AH100" i="1"/>
  <c r="AH82" i="1"/>
  <c r="AH73" i="1"/>
  <c r="AH72" i="1"/>
  <c r="AH56" i="1"/>
  <c r="AH55" i="1"/>
  <c r="AH51" i="1"/>
  <c r="AH50" i="1"/>
  <c r="AH29" i="1"/>
  <c r="AH28" i="1"/>
  <c r="AH17" i="1"/>
  <c r="AH15" i="1"/>
  <c r="AH14" i="1"/>
  <c r="AH12" i="1"/>
  <c r="AH10" i="1"/>
  <c r="AG113" i="1"/>
  <c r="AG114" i="1"/>
  <c r="AG111" i="1"/>
  <c r="AG103" i="1"/>
  <c r="AG102" i="1"/>
  <c r="AG101" i="1"/>
  <c r="AG100" i="1"/>
  <c r="AG89" i="1"/>
  <c r="AG82" i="1"/>
  <c r="AG73" i="1"/>
  <c r="AG72" i="1"/>
  <c r="AG56" i="1"/>
  <c r="AG55" i="1"/>
  <c r="AG51" i="1"/>
  <c r="AG50" i="1"/>
  <c r="AG29" i="1"/>
  <c r="AG28" i="1"/>
  <c r="AG17" i="1"/>
  <c r="AG15" i="1"/>
  <c r="AG14" i="1"/>
  <c r="AG12" i="1"/>
  <c r="AG10" i="1"/>
  <c r="AF114" i="1"/>
  <c r="AF113" i="1"/>
  <c r="AF111" i="1"/>
  <c r="AF103" i="1"/>
  <c r="AF102" i="1"/>
  <c r="AF101" i="1"/>
  <c r="AF100" i="1"/>
  <c r="AF89" i="1"/>
  <c r="AF82" i="1"/>
  <c r="AF73" i="1"/>
  <c r="AF72" i="1"/>
  <c r="AF56" i="1"/>
  <c r="AF55" i="1"/>
  <c r="AF51" i="1"/>
  <c r="AF50" i="1"/>
  <c r="AF29" i="1"/>
  <c r="AF28" i="1"/>
  <c r="AF17" i="1"/>
  <c r="AF15" i="1"/>
  <c r="AF14" i="1"/>
  <c r="AF12" i="1"/>
  <c r="AF10" i="1"/>
  <c r="AB89" i="1"/>
  <c r="AC89" i="1" s="1"/>
  <c r="AB82" i="1"/>
  <c r="AC82" i="1" s="1"/>
  <c r="AB73" i="1"/>
  <c r="AC73" i="1" s="1"/>
  <c r="AB72" i="1"/>
  <c r="AC72" i="1" s="1"/>
  <c r="AB56" i="1"/>
  <c r="AC56" i="1" s="1"/>
  <c r="AB55" i="1"/>
  <c r="AC55" i="1" s="1"/>
  <c r="AB51" i="1"/>
  <c r="AC51" i="1" s="1"/>
  <c r="AB50" i="1"/>
  <c r="AC50" i="1" s="1"/>
  <c r="AB29" i="1"/>
  <c r="AC29" i="1" s="1"/>
  <c r="AB28" i="1"/>
  <c r="AC28" i="1" s="1"/>
  <c r="AB17" i="1"/>
  <c r="AC17" i="1" s="1"/>
  <c r="AB15" i="1"/>
  <c r="AC15" i="1" s="1"/>
  <c r="AB14" i="1"/>
  <c r="AC14" i="1" s="1"/>
  <c r="AB12" i="1"/>
  <c r="AC12" i="1" s="1"/>
  <c r="AB10" i="1"/>
  <c r="AC10" i="1" s="1"/>
  <c r="Y89" i="1"/>
  <c r="Z89" i="1" s="1"/>
  <c r="Y82" i="1"/>
  <c r="Z82" i="1" s="1"/>
  <c r="Y73" i="1"/>
  <c r="Z73" i="1" s="1"/>
  <c r="Y72" i="1"/>
  <c r="Z72" i="1" s="1"/>
  <c r="Y56" i="1"/>
  <c r="Z56" i="1" s="1"/>
  <c r="Y55" i="1"/>
  <c r="Z55" i="1" s="1"/>
  <c r="Y51" i="1"/>
  <c r="Z51" i="1" s="1"/>
  <c r="Y50" i="1"/>
  <c r="Z50" i="1" s="1"/>
  <c r="Y29" i="1"/>
  <c r="Z29" i="1" s="1"/>
  <c r="Y28" i="1"/>
  <c r="Z28" i="1" s="1"/>
  <c r="Y17" i="1"/>
  <c r="Z17" i="1" s="1"/>
  <c r="Y15" i="1"/>
  <c r="Z15" i="1" s="1"/>
  <c r="Y14" i="1"/>
  <c r="Z14" i="1" s="1"/>
  <c r="Y12" i="1"/>
  <c r="Z12" i="1" s="1"/>
  <c r="Y10" i="1"/>
  <c r="Z10" i="1" s="1"/>
  <c r="W101" i="1"/>
  <c r="W100" i="1"/>
  <c r="AB114" i="1"/>
  <c r="AC114" i="1" s="1"/>
  <c r="AB113" i="1"/>
  <c r="AC113" i="1" s="1"/>
  <c r="AB111" i="1"/>
  <c r="AC111" i="1" s="1"/>
  <c r="Y114" i="1"/>
  <c r="Z114" i="1" s="1"/>
  <c r="Y113" i="1"/>
  <c r="Z113" i="1" s="1"/>
  <c r="Y111" i="1"/>
  <c r="Z111" i="1" s="1"/>
  <c r="AB103" i="1"/>
  <c r="AC103" i="1" s="1"/>
  <c r="AB102" i="1"/>
  <c r="AC102" i="1" s="1"/>
  <c r="AB101" i="1"/>
  <c r="AC101" i="1" s="1"/>
  <c r="AB100" i="1"/>
  <c r="AC100" i="1" s="1"/>
  <c r="Y103" i="1"/>
  <c r="Z103" i="1" s="1"/>
  <c r="Y102" i="1"/>
  <c r="Z102" i="1" s="1"/>
  <c r="Y101" i="1"/>
  <c r="Z101" i="1" s="1"/>
  <c r="Y100" i="1"/>
  <c r="Z100" i="1" s="1"/>
  <c r="AI82" i="1" l="1"/>
  <c r="AA101" i="1"/>
  <c r="AD101" i="1" s="1"/>
  <c r="AI102" i="1"/>
  <c r="AI103" i="1"/>
  <c r="AI17" i="1"/>
  <c r="BB17" i="1" s="1"/>
  <c r="AI73" i="1"/>
  <c r="AJ73" i="1" s="1"/>
  <c r="AI15" i="1"/>
  <c r="AI28" i="1"/>
  <c r="AI29" i="1"/>
  <c r="AI101" i="1"/>
  <c r="AI10" i="1"/>
  <c r="AJ10" i="1" s="1"/>
  <c r="AI12" i="1"/>
  <c r="BB12" i="1" s="1"/>
  <c r="AI72" i="1"/>
  <c r="AJ72" i="1" s="1"/>
  <c r="AI55" i="1"/>
  <c r="AI114" i="1"/>
  <c r="AI51" i="1"/>
  <c r="AI50" i="1"/>
  <c r="AI14" i="1"/>
  <c r="BB14" i="1" s="1"/>
  <c r="AI56" i="1"/>
  <c r="AI113" i="1"/>
  <c r="AA100" i="1"/>
  <c r="AD100" i="1" s="1"/>
  <c r="AI111" i="1"/>
  <c r="AI89" i="1"/>
  <c r="V114" i="1"/>
  <c r="W114" i="1" s="1"/>
  <c r="AA114" i="1" s="1"/>
  <c r="AD114" i="1" s="1"/>
  <c r="AP114" i="1" s="1"/>
  <c r="V113" i="1"/>
  <c r="V111" i="1"/>
  <c r="V103" i="1"/>
  <c r="W103" i="1" s="1"/>
  <c r="AA103" i="1" s="1"/>
  <c r="AD103" i="1" s="1"/>
  <c r="V102" i="1"/>
  <c r="W102" i="1" s="1"/>
  <c r="AA102" i="1" s="1"/>
  <c r="AD102" i="1" s="1"/>
  <c r="V89" i="1"/>
  <c r="W89" i="1" s="1"/>
  <c r="AA89" i="1" s="1"/>
  <c r="AD89" i="1" s="1"/>
  <c r="AP89" i="1" s="1"/>
  <c r="V82" i="1"/>
  <c r="W82" i="1" s="1"/>
  <c r="AA82" i="1" s="1"/>
  <c r="AD82" i="1" s="1"/>
  <c r="V73" i="1"/>
  <c r="W73" i="1" s="1"/>
  <c r="AA73" i="1" s="1"/>
  <c r="AD73" i="1" s="1"/>
  <c r="AP73" i="1" s="1"/>
  <c r="AQ73" i="1" s="1"/>
  <c r="AR73" i="1" s="1"/>
  <c r="V72" i="1"/>
  <c r="W72" i="1" s="1"/>
  <c r="AA72" i="1" s="1"/>
  <c r="AD72" i="1" s="1"/>
  <c r="AP72" i="1" s="1"/>
  <c r="AQ72" i="1" s="1"/>
  <c r="AR72" i="1" s="1"/>
  <c r="V56" i="1"/>
  <c r="W56" i="1" s="1"/>
  <c r="AA56" i="1" s="1"/>
  <c r="AD56" i="1" s="1"/>
  <c r="V55" i="1"/>
  <c r="W55" i="1" s="1"/>
  <c r="AA55" i="1" s="1"/>
  <c r="AD55" i="1" s="1"/>
  <c r="V51" i="1"/>
  <c r="W51" i="1" s="1"/>
  <c r="AA51" i="1" s="1"/>
  <c r="AD51" i="1" s="1"/>
  <c r="V50" i="1"/>
  <c r="W50" i="1" s="1"/>
  <c r="AA50" i="1" s="1"/>
  <c r="AD50" i="1" s="1"/>
  <c r="V29" i="1"/>
  <c r="W29" i="1" s="1"/>
  <c r="AA29" i="1" s="1"/>
  <c r="AD29" i="1" s="1"/>
  <c r="V28" i="1"/>
  <c r="W28" i="1" s="1"/>
  <c r="AA28" i="1" s="1"/>
  <c r="AD28" i="1" s="1"/>
  <c r="V17" i="1"/>
  <c r="W17" i="1" s="1"/>
  <c r="AA17" i="1" s="1"/>
  <c r="AD17" i="1" s="1"/>
  <c r="V15" i="1"/>
  <c r="W15" i="1" s="1"/>
  <c r="AA15" i="1" s="1"/>
  <c r="AD15" i="1" s="1"/>
  <c r="AP15" i="1" s="1"/>
  <c r="AQ15" i="1" s="1"/>
  <c r="AR15" i="1" s="1"/>
  <c r="V14" i="1"/>
  <c r="W14" i="1" s="1"/>
  <c r="AA14" i="1" s="1"/>
  <c r="AD14" i="1" s="1"/>
  <c r="AP14" i="1" s="1"/>
  <c r="AQ14" i="1" s="1"/>
  <c r="AR14" i="1" s="1"/>
  <c r="V12" i="1"/>
  <c r="W12" i="1" s="1"/>
  <c r="AA12" i="1" s="1"/>
  <c r="AD12" i="1" s="1"/>
  <c r="AP12" i="1" s="1"/>
  <c r="AA10" i="1"/>
  <c r="AD10" i="1" s="1"/>
  <c r="W111" i="1" l="1"/>
  <c r="AA111" i="1" s="1"/>
  <c r="AD111" i="1" s="1"/>
  <c r="AP111" i="1" s="1"/>
  <c r="AQ111" i="1" s="1"/>
  <c r="AR111" i="1" s="1"/>
  <c r="AS111" i="1" s="1"/>
  <c r="BC111" i="1" s="1"/>
  <c r="W113" i="1"/>
  <c r="AA113" i="1" s="1"/>
  <c r="AD113" i="1" s="1"/>
  <c r="AP113" i="1" s="1"/>
  <c r="AJ12" i="1"/>
  <c r="AS14" i="1"/>
  <c r="BC14" i="1" s="1"/>
  <c r="AP10" i="1"/>
  <c r="AQ10" i="1" s="1"/>
  <c r="AR10" i="1" s="1"/>
  <c r="AS10" i="1" s="1"/>
  <c r="BC10" i="1" s="1"/>
  <c r="AS72" i="1"/>
  <c r="BC72" i="1" s="1"/>
  <c r="AJ17" i="1"/>
  <c r="AQ12" i="1"/>
  <c r="AR12" i="1" s="1"/>
  <c r="AS12" i="1" s="1"/>
  <c r="BC12" i="1" s="1"/>
  <c r="AP17" i="1"/>
  <c r="AQ17" i="1" s="1"/>
  <c r="AR17" i="1" s="1"/>
  <c r="AS17" i="1" s="1"/>
  <c r="BC17" i="1" s="1"/>
  <c r="AQ89" i="1"/>
  <c r="AR89" i="1" s="1"/>
  <c r="AS89" i="1" s="1"/>
  <c r="BC89" i="1" s="1"/>
  <c r="BB10" i="1"/>
  <c r="AJ14" i="1"/>
  <c r="AJ15" i="1"/>
  <c r="BB72" i="1"/>
  <c r="AJ113" i="1"/>
  <c r="BB113" i="1"/>
  <c r="AJ111" i="1"/>
  <c r="BB111" i="1"/>
  <c r="AJ114" i="1"/>
  <c r="AJ89" i="1"/>
  <c r="BB89" i="1"/>
  <c r="BA8" i="1"/>
  <c r="AZ8" i="1"/>
  <c r="AY8" i="1"/>
  <c r="AX8" i="1"/>
  <c r="AW8" i="1"/>
  <c r="AQ113" i="1" l="1"/>
  <c r="AR113" i="1" s="1"/>
  <c r="AS113" i="1" s="1"/>
  <c r="BC113" i="1" s="1"/>
  <c r="AM105" i="1"/>
  <c r="AM94" i="1"/>
  <c r="AM84" i="1"/>
  <c r="AM79" i="1"/>
  <c r="AM46" i="1"/>
  <c r="AM53" i="1"/>
  <c r="AM34" i="1"/>
  <c r="AM32" i="1"/>
  <c r="AM24" i="1"/>
  <c r="AM23" i="1"/>
  <c r="AM22" i="1"/>
  <c r="AM20" i="1"/>
  <c r="AM19" i="1"/>
  <c r="AM8" i="1"/>
  <c r="AK105" i="1" l="1"/>
  <c r="AK94" i="1"/>
  <c r="AH80" i="1"/>
  <c r="AG80" i="1"/>
  <c r="AF80" i="1"/>
  <c r="AK79" i="1"/>
  <c r="AK46" i="1"/>
  <c r="AK53" i="1"/>
  <c r="AK34" i="1"/>
  <c r="AK32" i="1"/>
  <c r="AK8" i="1"/>
  <c r="AB80" i="1" l="1"/>
  <c r="AC80" i="1" s="1"/>
  <c r="Y80" i="1"/>
  <c r="Z80" i="1" s="1"/>
  <c r="V80" i="1"/>
  <c r="W80" i="1" s="1"/>
  <c r="AH92" i="1"/>
  <c r="AG92" i="1"/>
  <c r="AF92" i="1"/>
  <c r="AB92" i="1"/>
  <c r="AC92" i="1" s="1"/>
  <c r="AH109" i="1"/>
  <c r="AH108" i="1"/>
  <c r="AH107" i="1"/>
  <c r="AH105" i="1"/>
  <c r="AH98" i="1"/>
  <c r="AH96" i="1"/>
  <c r="AH95" i="1"/>
  <c r="AH94" i="1"/>
  <c r="AH93" i="1"/>
  <c r="AH91" i="1"/>
  <c r="AH86" i="1"/>
  <c r="AH84" i="1"/>
  <c r="AH79" i="1"/>
  <c r="AH48" i="1"/>
  <c r="AH47" i="1"/>
  <c r="AH46" i="1"/>
  <c r="AH45" i="1"/>
  <c r="AH38" i="1"/>
  <c r="AH36" i="1"/>
  <c r="AH54" i="1"/>
  <c r="AH53" i="1"/>
  <c r="AH52" i="1"/>
  <c r="AH35" i="1"/>
  <c r="AH34" i="1"/>
  <c r="AH33" i="1"/>
  <c r="AH32" i="1"/>
  <c r="AH25" i="1"/>
  <c r="AH24" i="1"/>
  <c r="AH23" i="1"/>
  <c r="AH22" i="1"/>
  <c r="AH20" i="1"/>
  <c r="AH19" i="1"/>
  <c r="AH8" i="1"/>
  <c r="AG109" i="1"/>
  <c r="AG108" i="1"/>
  <c r="AG107" i="1"/>
  <c r="AG105" i="1"/>
  <c r="AG98" i="1"/>
  <c r="AG96" i="1"/>
  <c r="AG94" i="1"/>
  <c r="AG93" i="1"/>
  <c r="AG91" i="1"/>
  <c r="AG86" i="1"/>
  <c r="AG84" i="1"/>
  <c r="AG79" i="1"/>
  <c r="AG48" i="1"/>
  <c r="AG47" i="1"/>
  <c r="AG46" i="1"/>
  <c r="AG45" i="1"/>
  <c r="AG38" i="1"/>
  <c r="AG36" i="1"/>
  <c r="AG54" i="1"/>
  <c r="AG53" i="1"/>
  <c r="AG52" i="1"/>
  <c r="AG35" i="1"/>
  <c r="AG34" i="1"/>
  <c r="AG33" i="1"/>
  <c r="AG32" i="1"/>
  <c r="AG25" i="1"/>
  <c r="AG24" i="1"/>
  <c r="AG23" i="1"/>
  <c r="AG22" i="1"/>
  <c r="AG20" i="1"/>
  <c r="AG19" i="1"/>
  <c r="AG8" i="1"/>
  <c r="AF109" i="1"/>
  <c r="AF108" i="1"/>
  <c r="AF107" i="1"/>
  <c r="AF105" i="1"/>
  <c r="AF98" i="1"/>
  <c r="AF96" i="1"/>
  <c r="AF95" i="1"/>
  <c r="AF94" i="1"/>
  <c r="AF93" i="1"/>
  <c r="AF91" i="1"/>
  <c r="AF86" i="1"/>
  <c r="AF84" i="1"/>
  <c r="AF79" i="1"/>
  <c r="AF48" i="1"/>
  <c r="AF47" i="1"/>
  <c r="AF46" i="1"/>
  <c r="AF45" i="1"/>
  <c r="AF38" i="1"/>
  <c r="AF36" i="1"/>
  <c r="AF54" i="1"/>
  <c r="AF53" i="1"/>
  <c r="AF52" i="1"/>
  <c r="AF35" i="1"/>
  <c r="AF34" i="1"/>
  <c r="AF32" i="1"/>
  <c r="AF33" i="1"/>
  <c r="AF25" i="1"/>
  <c r="AF24" i="1"/>
  <c r="AF23" i="1"/>
  <c r="AF22" i="1"/>
  <c r="AF20" i="1"/>
  <c r="AF19" i="1"/>
  <c r="AF8" i="1"/>
  <c r="AB107" i="1"/>
  <c r="AC107" i="1" s="1"/>
  <c r="AB109" i="1"/>
  <c r="AC109" i="1" s="1"/>
  <c r="AB108" i="1"/>
  <c r="AC108" i="1" s="1"/>
  <c r="AB105" i="1"/>
  <c r="AC105" i="1" s="1"/>
  <c r="AB98" i="1"/>
  <c r="AC98" i="1" s="1"/>
  <c r="AB96" i="1"/>
  <c r="AC96" i="1" s="1"/>
  <c r="AB95" i="1"/>
  <c r="AC95" i="1" s="1"/>
  <c r="AB94" i="1"/>
  <c r="AC94" i="1" s="1"/>
  <c r="AB93" i="1"/>
  <c r="AC93" i="1" s="1"/>
  <c r="AB91" i="1"/>
  <c r="AC91" i="1" s="1"/>
  <c r="AB86" i="1"/>
  <c r="AC86" i="1" s="1"/>
  <c r="AB84" i="1"/>
  <c r="AC84" i="1" s="1"/>
  <c r="AB79" i="1"/>
  <c r="AC79" i="1" s="1"/>
  <c r="AB48" i="1"/>
  <c r="AC48" i="1" s="1"/>
  <c r="AB47" i="1"/>
  <c r="AC47" i="1" s="1"/>
  <c r="AB46" i="1"/>
  <c r="AC46" i="1" s="1"/>
  <c r="AB45" i="1"/>
  <c r="AC45" i="1" s="1"/>
  <c r="AB38" i="1"/>
  <c r="AC38" i="1" s="1"/>
  <c r="AB36" i="1"/>
  <c r="AC36" i="1" s="1"/>
  <c r="AB54" i="1"/>
  <c r="AC54" i="1" s="1"/>
  <c r="AB53" i="1"/>
  <c r="AC53" i="1" s="1"/>
  <c r="AB52" i="1"/>
  <c r="AC52" i="1" s="1"/>
  <c r="AB35" i="1"/>
  <c r="AC35" i="1" s="1"/>
  <c r="AB34" i="1"/>
  <c r="AC34" i="1" s="1"/>
  <c r="AB33" i="1"/>
  <c r="AC33" i="1" s="1"/>
  <c r="AB32" i="1"/>
  <c r="AC32" i="1" s="1"/>
  <c r="AB25" i="1"/>
  <c r="AC25" i="1" s="1"/>
  <c r="AB24" i="1"/>
  <c r="AC24" i="1" s="1"/>
  <c r="AB23" i="1"/>
  <c r="AC23" i="1" s="1"/>
  <c r="AB22" i="1"/>
  <c r="AC22" i="1" s="1"/>
  <c r="AB20" i="1"/>
  <c r="AC20" i="1" s="1"/>
  <c r="AB19" i="1"/>
  <c r="AC19" i="1" s="1"/>
  <c r="AB8" i="1"/>
  <c r="AC8" i="1" s="1"/>
  <c r="Y8" i="1"/>
  <c r="Z8" i="1" s="1"/>
  <c r="Y109" i="1"/>
  <c r="Z109" i="1" s="1"/>
  <c r="Y108" i="1"/>
  <c r="Z108" i="1" s="1"/>
  <c r="Y107" i="1"/>
  <c r="Z107" i="1" s="1"/>
  <c r="Y105" i="1"/>
  <c r="Z105" i="1" s="1"/>
  <c r="Y98" i="1"/>
  <c r="Z98" i="1" s="1"/>
  <c r="Y96" i="1"/>
  <c r="Z96" i="1" s="1"/>
  <c r="Y95" i="1"/>
  <c r="Z95" i="1" s="1"/>
  <c r="Y94" i="1"/>
  <c r="Z94" i="1" s="1"/>
  <c r="Y93" i="1"/>
  <c r="Z93" i="1" s="1"/>
  <c r="Y91" i="1"/>
  <c r="Z91" i="1" s="1"/>
  <c r="Y86" i="1"/>
  <c r="Z86" i="1" s="1"/>
  <c r="Y84" i="1"/>
  <c r="Y79" i="1"/>
  <c r="Z79" i="1" s="1"/>
  <c r="Y48" i="1"/>
  <c r="Z48" i="1" s="1"/>
  <c r="Y47" i="1"/>
  <c r="Z47" i="1" s="1"/>
  <c r="Y46" i="1"/>
  <c r="Z46" i="1" s="1"/>
  <c r="Y45" i="1"/>
  <c r="Z45" i="1" s="1"/>
  <c r="Y38" i="1"/>
  <c r="Z38" i="1" s="1"/>
  <c r="Y36" i="1"/>
  <c r="Z36" i="1" s="1"/>
  <c r="Y54" i="1"/>
  <c r="Z54" i="1" s="1"/>
  <c r="Y53" i="1"/>
  <c r="Z53" i="1" s="1"/>
  <c r="Y52" i="1"/>
  <c r="Z52" i="1" s="1"/>
  <c r="Y35" i="1"/>
  <c r="Z35" i="1" s="1"/>
  <c r="Y34" i="1"/>
  <c r="Z34" i="1" s="1"/>
  <c r="Y33" i="1"/>
  <c r="Z33" i="1" s="1"/>
  <c r="Y32" i="1"/>
  <c r="Z32" i="1" s="1"/>
  <c r="Y25" i="1"/>
  <c r="Z25" i="1" s="1"/>
  <c r="Y24" i="1"/>
  <c r="Z24" i="1" s="1"/>
  <c r="Y23" i="1"/>
  <c r="Z23" i="1" s="1"/>
  <c r="Y22" i="1"/>
  <c r="Z22" i="1" s="1"/>
  <c r="Y20" i="1"/>
  <c r="Z20" i="1" s="1"/>
  <c r="Y19" i="1"/>
  <c r="Z19" i="1" s="1"/>
  <c r="V105" i="1"/>
  <c r="V98" i="1"/>
  <c r="V96" i="1"/>
  <c r="V95" i="1"/>
  <c r="V94" i="1"/>
  <c r="V93" i="1"/>
  <c r="V92" i="1"/>
  <c r="V91" i="1"/>
  <c r="V86" i="1"/>
  <c r="V84" i="1"/>
  <c r="V79" i="1"/>
  <c r="V48" i="1"/>
  <c r="V47" i="1"/>
  <c r="V46" i="1"/>
  <c r="V45" i="1"/>
  <c r="V38" i="1"/>
  <c r="V36" i="1"/>
  <c r="V54" i="1"/>
  <c r="V53" i="1"/>
  <c r="V52" i="1"/>
  <c r="V35" i="1"/>
  <c r="V34" i="1"/>
  <c r="V33" i="1"/>
  <c r="V32" i="1"/>
  <c r="V25" i="1"/>
  <c r="V24" i="1"/>
  <c r="V23" i="1"/>
  <c r="V22" i="1"/>
  <c r="V19" i="1"/>
  <c r="V20" i="1"/>
  <c r="V8" i="1"/>
  <c r="W8" i="1" s="1"/>
  <c r="AI79" i="1" l="1"/>
  <c r="Z84" i="1"/>
  <c r="AI84" i="1" s="1"/>
  <c r="AJ84" i="1" s="1"/>
  <c r="AI86" i="1"/>
  <c r="AI19" i="1"/>
  <c r="AI36" i="1"/>
  <c r="AI46" i="1"/>
  <c r="AI35" i="1"/>
  <c r="AI22" i="1"/>
  <c r="AI23" i="1"/>
  <c r="AI8" i="1"/>
  <c r="AI91" i="1"/>
  <c r="AI48" i="1"/>
  <c r="AI34" i="1"/>
  <c r="AI47" i="1"/>
  <c r="AI52" i="1"/>
  <c r="AI96" i="1"/>
  <c r="AA109" i="1"/>
  <c r="AD109" i="1" s="1"/>
  <c r="AI92" i="1"/>
  <c r="AI24" i="1"/>
  <c r="AI53" i="1"/>
  <c r="AI93" i="1"/>
  <c r="AI109" i="1"/>
  <c r="AI54" i="1"/>
  <c r="AI94" i="1"/>
  <c r="AI25" i="1"/>
  <c r="AI95" i="1"/>
  <c r="AI38" i="1"/>
  <c r="AI33" i="1"/>
  <c r="AI45" i="1"/>
  <c r="AI98" i="1"/>
  <c r="AI32" i="1"/>
  <c r="AI20" i="1"/>
  <c r="AI105" i="1"/>
  <c r="BB105" i="1" s="1"/>
  <c r="AA80" i="1"/>
  <c r="AD80" i="1" s="1"/>
  <c r="AP80" i="1" s="1"/>
  <c r="AQ80" i="1" s="1"/>
  <c r="AR80" i="1" s="1"/>
  <c r="AA107" i="1"/>
  <c r="AD107" i="1" s="1"/>
  <c r="AI107" i="1"/>
  <c r="AA108" i="1"/>
  <c r="AD108" i="1" s="1"/>
  <c r="AP108" i="1" s="1"/>
  <c r="AQ108" i="1" s="1"/>
  <c r="AR108" i="1" s="1"/>
  <c r="AS108" i="1" s="1"/>
  <c r="BC108" i="1" s="1"/>
  <c r="AI108" i="1"/>
  <c r="BB108" i="1" s="1"/>
  <c r="AA8" i="1"/>
  <c r="AD8" i="1" s="1"/>
  <c r="W22" i="1"/>
  <c r="AA22" i="1" s="1"/>
  <c r="AD22" i="1" s="1"/>
  <c r="AP22" i="1" s="1"/>
  <c r="W24" i="1"/>
  <c r="AA24" i="1" s="1"/>
  <c r="AD24" i="1" s="1"/>
  <c r="AP24" i="1" s="1"/>
  <c r="AQ24" i="1" s="1"/>
  <c r="AR24" i="1" s="1"/>
  <c r="W25" i="1"/>
  <c r="AA25" i="1" s="1"/>
  <c r="AD25" i="1" s="1"/>
  <c r="W23" i="1"/>
  <c r="AA23" i="1" s="1"/>
  <c r="AD23" i="1" s="1"/>
  <c r="AP23" i="1" s="1"/>
  <c r="W32" i="1"/>
  <c r="AA32" i="1" s="1"/>
  <c r="AD32" i="1" s="1"/>
  <c r="AP32" i="1" s="1"/>
  <c r="W33" i="1"/>
  <c r="AA33" i="1" s="1"/>
  <c r="AD33" i="1" s="1"/>
  <c r="W34" i="1"/>
  <c r="AA34" i="1" s="1"/>
  <c r="AD34" i="1" s="1"/>
  <c r="AP34" i="1" s="1"/>
  <c r="W35" i="1"/>
  <c r="AA35" i="1" s="1"/>
  <c r="AD35" i="1" s="1"/>
  <c r="W52" i="1"/>
  <c r="AA52" i="1" s="1"/>
  <c r="AD52" i="1" s="1"/>
  <c r="W53" i="1"/>
  <c r="AA53" i="1" s="1"/>
  <c r="AD53" i="1" s="1"/>
  <c r="AP53" i="1" s="1"/>
  <c r="AQ53" i="1" s="1"/>
  <c r="AR53" i="1" s="1"/>
  <c r="W54" i="1"/>
  <c r="AA54" i="1" s="1"/>
  <c r="AD54" i="1" s="1"/>
  <c r="W36" i="1"/>
  <c r="AA36" i="1" s="1"/>
  <c r="AD36" i="1" s="1"/>
  <c r="W38" i="1"/>
  <c r="AA38" i="1" s="1"/>
  <c r="AD38" i="1" s="1"/>
  <c r="W45" i="1"/>
  <c r="AA45" i="1" s="1"/>
  <c r="AD45" i="1" s="1"/>
  <c r="W46" i="1"/>
  <c r="AA46" i="1" s="1"/>
  <c r="AD46" i="1" s="1"/>
  <c r="AP46" i="1" s="1"/>
  <c r="W47" i="1"/>
  <c r="AA47" i="1" s="1"/>
  <c r="AD47" i="1" s="1"/>
  <c r="W48" i="1"/>
  <c r="AA48" i="1" s="1"/>
  <c r="AD48" i="1" s="1"/>
  <c r="W79" i="1"/>
  <c r="AA79" i="1" s="1"/>
  <c r="AD79" i="1" s="1"/>
  <c r="AP79" i="1" s="1"/>
  <c r="AQ79" i="1" s="1"/>
  <c r="AR79" i="1" s="1"/>
  <c r="W84" i="1"/>
  <c r="W86" i="1"/>
  <c r="AA86" i="1" s="1"/>
  <c r="AD86" i="1" s="1"/>
  <c r="W93" i="1"/>
  <c r="AA93" i="1" s="1"/>
  <c r="AD93" i="1" s="1"/>
  <c r="W94" i="1"/>
  <c r="AA94" i="1" s="1"/>
  <c r="AD94" i="1" s="1"/>
  <c r="AP94" i="1" s="1"/>
  <c r="AQ94" i="1" s="1"/>
  <c r="AR94" i="1" s="1"/>
  <c r="AS97" i="1" s="1"/>
  <c r="BC97" i="1" s="1"/>
  <c r="W95" i="1"/>
  <c r="AA95" i="1" s="1"/>
  <c r="AD95" i="1" s="1"/>
  <c r="W96" i="1"/>
  <c r="AA96" i="1" s="1"/>
  <c r="AD96" i="1" s="1"/>
  <c r="W91" i="1"/>
  <c r="W105" i="1"/>
  <c r="AA105" i="1" s="1"/>
  <c r="AD105" i="1" s="1"/>
  <c r="AP105" i="1" s="1"/>
  <c r="W92" i="1"/>
  <c r="AA92" i="1" s="1"/>
  <c r="AD92" i="1" s="1"/>
  <c r="W98" i="1"/>
  <c r="AA98" i="1" s="1"/>
  <c r="AD98" i="1" s="1"/>
  <c r="W20" i="1"/>
  <c r="AA20" i="1" s="1"/>
  <c r="AD20" i="1" s="1"/>
  <c r="AP20" i="1" s="1"/>
  <c r="W19" i="1"/>
  <c r="AA19" i="1" s="1"/>
  <c r="AD19" i="1" s="1"/>
  <c r="AP19" i="1" s="1"/>
  <c r="AQ32" i="1" l="1"/>
  <c r="AR32" i="1" s="1"/>
  <c r="AS32" i="1" s="1"/>
  <c r="BC32" i="1"/>
  <c r="AJ81" i="1"/>
  <c r="BB79" i="1"/>
  <c r="AJ54" i="1"/>
  <c r="AJ52" i="1"/>
  <c r="AJ45" i="1"/>
  <c r="AJ70" i="1"/>
  <c r="AJ69" i="1"/>
  <c r="AJ68" i="1"/>
  <c r="AJ66" i="1"/>
  <c r="AJ65" i="1"/>
  <c r="AJ67" i="1"/>
  <c r="AJ64" i="1"/>
  <c r="AJ58" i="1"/>
  <c r="AJ57" i="1"/>
  <c r="AJ59" i="1"/>
  <c r="AJ61" i="1"/>
  <c r="AJ62" i="1"/>
  <c r="AJ60" i="1"/>
  <c r="AJ63" i="1"/>
  <c r="AJ49" i="1"/>
  <c r="AJ51" i="1"/>
  <c r="AJ56" i="1"/>
  <c r="AJ55" i="1"/>
  <c r="AJ50" i="1"/>
  <c r="AJ47" i="1"/>
  <c r="AJ46" i="1"/>
  <c r="AJ53" i="1"/>
  <c r="AJ48" i="1"/>
  <c r="AJ37" i="1"/>
  <c r="AJ30" i="1"/>
  <c r="AQ22" i="1"/>
  <c r="AR22" i="1" s="1"/>
  <c r="AS22" i="1" s="1"/>
  <c r="AJ80" i="1"/>
  <c r="AJ39" i="1"/>
  <c r="AJ41" i="1"/>
  <c r="AJ42" i="1"/>
  <c r="AJ40" i="1"/>
  <c r="AJ43" i="1"/>
  <c r="AQ46" i="1"/>
  <c r="AR46" i="1" s="1"/>
  <c r="AS46" i="1" s="1"/>
  <c r="BC46" i="1" s="1"/>
  <c r="AQ19" i="1"/>
  <c r="AR19" i="1" s="1"/>
  <c r="AS19" i="1" s="1"/>
  <c r="AJ20" i="1"/>
  <c r="BB19" i="1"/>
  <c r="AJ19" i="1"/>
  <c r="AS79" i="1"/>
  <c r="BC79" i="1" s="1"/>
  <c r="BL12" i="1" s="1"/>
  <c r="BB22" i="1"/>
  <c r="AJ22" i="1"/>
  <c r="AJ27" i="1"/>
  <c r="AJ26" i="1"/>
  <c r="AA84" i="1"/>
  <c r="AD84" i="1" s="1"/>
  <c r="AP84" i="1" s="1"/>
  <c r="AQ84" i="1" s="1"/>
  <c r="AR84" i="1" s="1"/>
  <c r="AS84" i="1" s="1"/>
  <c r="BC84" i="1" s="1"/>
  <c r="AJ86" i="1"/>
  <c r="AJ87" i="1"/>
  <c r="AJ97" i="1"/>
  <c r="AJ91" i="1"/>
  <c r="AJ99" i="1"/>
  <c r="AA91" i="1"/>
  <c r="AD91" i="1" s="1"/>
  <c r="AJ32" i="1"/>
  <c r="AJ33" i="1"/>
  <c r="AJ38" i="1"/>
  <c r="AJ35" i="1"/>
  <c r="AJ34" i="1"/>
  <c r="BB46" i="1"/>
  <c r="AJ36" i="1"/>
  <c r="AP8" i="1"/>
  <c r="AQ8" i="1" s="1"/>
  <c r="AR8" i="1" s="1"/>
  <c r="AQ105" i="1"/>
  <c r="AR105" i="1" s="1"/>
  <c r="AS105" i="1" s="1"/>
  <c r="BC105" i="1" s="1"/>
  <c r="AJ28" i="1"/>
  <c r="BB84" i="1"/>
  <c r="BB32" i="1"/>
  <c r="AJ98" i="1"/>
  <c r="AJ109" i="1"/>
  <c r="AJ23" i="1"/>
  <c r="AJ25" i="1"/>
  <c r="AJ96" i="1"/>
  <c r="AJ95" i="1"/>
  <c r="AJ24" i="1"/>
  <c r="AJ108" i="1"/>
  <c r="AJ29" i="1"/>
  <c r="AJ102" i="1"/>
  <c r="AJ101" i="1"/>
  <c r="AJ94" i="1"/>
  <c r="AJ93" i="1"/>
  <c r="AJ103" i="1"/>
  <c r="AJ92" i="1"/>
  <c r="AJ107" i="1"/>
  <c r="AJ79" i="1"/>
  <c r="AJ82" i="1"/>
  <c r="AJ100" i="1"/>
  <c r="AJ8" i="1"/>
  <c r="BB8" i="1"/>
  <c r="AJ105" i="1"/>
  <c r="BC22" i="1" l="1"/>
  <c r="AS8" i="1"/>
  <c r="BC8" i="1" s="1"/>
  <c r="BC1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KING Olivia.C.</author>
    <author>Smith Rachael</author>
    <author>Michael Warne</author>
  </authors>
  <commentList>
    <comment ref="BK8" authorId="0" shapeId="0" xr:uid="{00000000-0006-0000-0000-000001000000}">
      <text>
        <r>
          <rPr>
            <sz val="9"/>
            <color rgb="FF000000"/>
            <rFont val="Tahoma"/>
            <family val="2"/>
          </rPr>
          <t>Changed from preference 2 to preference 1</t>
        </r>
      </text>
    </comment>
    <comment ref="BK13" authorId="0" shapeId="0" xr:uid="{00000000-0006-0000-0000-000002000000}">
      <text>
        <r>
          <rPr>
            <sz val="9"/>
            <color rgb="FF000000"/>
            <rFont val="Tahoma"/>
            <family val="2"/>
          </rPr>
          <t>Changed from preference 2 to preference 1</t>
        </r>
      </text>
    </comment>
    <comment ref="BK26" authorId="1" shapeId="0" xr:uid="{00000000-0006-0000-0000-000003000000}">
      <text>
        <r>
          <rPr>
            <sz val="9"/>
            <color rgb="FF000000"/>
            <rFont val="Tahoma"/>
            <family val="2"/>
          </rPr>
          <t>Changed from Preference 3</t>
        </r>
      </text>
    </comment>
    <comment ref="BK27" authorId="0" shapeId="0" xr:uid="{00000000-0006-0000-0000-000004000000}">
      <text>
        <r>
          <rPr>
            <sz val="9"/>
            <color rgb="FF000000"/>
            <rFont val="Tahoma"/>
            <family val="2"/>
          </rPr>
          <t>Changed from preference 2 to preference 1</t>
        </r>
      </text>
    </comment>
    <comment ref="AI80" authorId="2" shapeId="0" xr:uid="{00000000-0006-0000-0000-000005000000}">
      <text>
        <r>
          <rPr>
            <sz val="9"/>
            <color rgb="FF000000"/>
            <rFont val="Tahoma"/>
            <family val="2"/>
          </rPr>
          <t>Data preference increased to 1 because this toxicity value is the most sensitive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Reviewer</author>
  </authors>
  <commentList>
    <comment ref="K4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Reviewer: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Preference is to use data from group 1 - 4 in ascending order. </t>
        </r>
      </text>
    </comment>
  </commentList>
</comments>
</file>

<file path=xl/sharedStrings.xml><?xml version="1.0" encoding="utf-8"?>
<sst xmlns="http://schemas.openxmlformats.org/spreadsheetml/2006/main" count="1703" uniqueCount="295">
  <si>
    <t>Data Source ID</t>
  </si>
  <si>
    <t xml:space="preserve">Media Type </t>
  </si>
  <si>
    <t>Species Scientific Name</t>
  </si>
  <si>
    <t>Phylum</t>
  </si>
  <si>
    <t>Toxicity Value</t>
  </si>
  <si>
    <t>Endpoint</t>
  </si>
  <si>
    <t>Acute/ Chronic</t>
  </si>
  <si>
    <t>Type of Organism (fish/amphibians/macroinvertebrates/microinvertebrates/macrophytes/macroalgae/microalgae)</t>
  </si>
  <si>
    <t>Hetero/ Phototroph</t>
  </si>
  <si>
    <t xml:space="preserve">Exposure Duration  </t>
  </si>
  <si>
    <t>Exposure Duration Units</t>
  </si>
  <si>
    <t>Life Stage</t>
  </si>
  <si>
    <t>Start</t>
  </si>
  <si>
    <t>Conversion</t>
  </si>
  <si>
    <t>End</t>
  </si>
  <si>
    <t>EC50</t>
  </si>
  <si>
    <t>Chronic</t>
  </si>
  <si>
    <t>Microalgae</t>
  </si>
  <si>
    <t>Phototroph</t>
  </si>
  <si>
    <t>NOEC/EC10</t>
  </si>
  <si>
    <t>LC50</t>
  </si>
  <si>
    <t>NOEC</t>
  </si>
  <si>
    <t>LOEC</t>
  </si>
  <si>
    <t>Start (acute)</t>
  </si>
  <si>
    <t>End (chronic)</t>
  </si>
  <si>
    <t>EC10</t>
  </si>
  <si>
    <t>Endpoint Measurement</t>
  </si>
  <si>
    <t>CONCENTRATION</t>
  </si>
  <si>
    <t>TEST CRITERIA</t>
  </si>
  <si>
    <t>ORGANISM CHARACTERISTICS</t>
  </si>
  <si>
    <t>ACR Conversion Factor</t>
  </si>
  <si>
    <t>Toxicity Value Conversion factor</t>
  </si>
  <si>
    <t>NEC/EC10/NOEC Concentration (ug/L)</t>
  </si>
  <si>
    <t>Chronic NEC/EC10/NOEC Concentration (ug/L)</t>
  </si>
  <si>
    <t>Toxicity Value Conversion</t>
  </si>
  <si>
    <r>
      <t>PREFERENTIAL SELECTION &amp; GROUPING OF DATA (</t>
    </r>
    <r>
      <rPr>
        <b/>
        <i/>
        <sz val="10"/>
        <color theme="0"/>
        <rFont val="Arial"/>
        <family val="2"/>
      </rPr>
      <t>See Warne et al., revised method - Table 5.</t>
    </r>
    <r>
      <rPr>
        <b/>
        <sz val="10"/>
        <color theme="0"/>
        <rFont val="Arial"/>
        <family val="2"/>
      </rPr>
      <t>)</t>
    </r>
  </si>
  <si>
    <t>QUALITY CHECK</t>
  </si>
  <si>
    <t>DATA ID</t>
  </si>
  <si>
    <t>Record ID</t>
  </si>
  <si>
    <t>Group same duration for each Endpoint</t>
  </si>
  <si>
    <t>Group the same Endpoint</t>
  </si>
  <si>
    <t>3. LOWEST VALUE FOR SPECIES. (ug/L)</t>
  </si>
  <si>
    <t>1. Toxicity Value</t>
  </si>
  <si>
    <t>2. Acute/Chronic</t>
  </si>
  <si>
    <t>3. Endpoint Measurement</t>
  </si>
  <si>
    <t>4. Duration</t>
  </si>
  <si>
    <t>DERIVE ONE VALUE FOR EACH SPECIES</t>
  </si>
  <si>
    <t>Conversion Factor</t>
  </si>
  <si>
    <t>NEC</t>
  </si>
  <si>
    <t>Acute</t>
  </si>
  <si>
    <t>EC10 Acute to Chronic Ratio (ACR)</t>
  </si>
  <si>
    <t>Mortality</t>
  </si>
  <si>
    <t>LC10</t>
  </si>
  <si>
    <t>Exponential growth phase</t>
  </si>
  <si>
    <t>IC10</t>
  </si>
  <si>
    <t>IC50</t>
  </si>
  <si>
    <t>Chordata</t>
  </si>
  <si>
    <t>Fish</t>
  </si>
  <si>
    <t>Class</t>
  </si>
  <si>
    <t>Heterotroph</t>
  </si>
  <si>
    <t>Actinopterygii</t>
  </si>
  <si>
    <t>Endpoint (Directly from Paper)</t>
  </si>
  <si>
    <t>Growth</t>
  </si>
  <si>
    <t>Concentration Stated in Paper</t>
  </si>
  <si>
    <t>Units</t>
  </si>
  <si>
    <t>Concentration Converted to ug/L</t>
  </si>
  <si>
    <t>mg/L</t>
  </si>
  <si>
    <t>ug/L</t>
  </si>
  <si>
    <t>Toxicity Value (repeat from Column O)</t>
  </si>
  <si>
    <t>Acute/Chronic (repeat from Column R)</t>
  </si>
  <si>
    <t>NOAEC</t>
  </si>
  <si>
    <t>LOAEC</t>
  </si>
  <si>
    <r>
      <t>Species Name</t>
    </r>
    <r>
      <rPr>
        <sz val="10"/>
        <rFont val="Calibri"/>
        <family val="2"/>
      </rPr>
      <t xml:space="preserve"> (repeat from Column E)</t>
    </r>
  </si>
  <si>
    <r>
      <t>Toxicity Value</t>
    </r>
    <r>
      <rPr>
        <sz val="10"/>
        <rFont val="Calibri"/>
        <family val="2"/>
      </rPr>
      <t xml:space="preserve"> (repeat from Column O)</t>
    </r>
  </si>
  <si>
    <r>
      <t xml:space="preserve">Acute/Chronic </t>
    </r>
    <r>
      <rPr>
        <sz val="10"/>
        <rFont val="Calibri"/>
        <family val="2"/>
      </rPr>
      <t>(repeat from Column R)</t>
    </r>
  </si>
  <si>
    <r>
      <t xml:space="preserve">Endpoint Measurement </t>
    </r>
    <r>
      <rPr>
        <sz val="10"/>
        <color rgb="FF000000"/>
        <rFont val="Calibri"/>
        <family val="2"/>
      </rPr>
      <t>(repeat from Column N)</t>
    </r>
  </si>
  <si>
    <r>
      <t xml:space="preserve">DURATION (d) </t>
    </r>
    <r>
      <rPr>
        <sz val="10"/>
        <color rgb="FF000000"/>
        <rFont val="Calibri"/>
        <family val="2"/>
      </rPr>
      <t>(repeat from Column P)</t>
    </r>
  </si>
  <si>
    <r>
      <t xml:space="preserve">1. GEOMETRIC MEAN FOR EACH COMBINATION OF ENDPOINT AND DURATION </t>
    </r>
    <r>
      <rPr>
        <sz val="10"/>
        <color rgb="FF000000"/>
        <rFont val="Calibri"/>
        <family val="2"/>
      </rPr>
      <t xml:space="preserve">(Groupings in Column AK) </t>
    </r>
    <r>
      <rPr>
        <b/>
        <sz val="10"/>
        <color rgb="FF000000"/>
        <rFont val="Calibri"/>
        <family val="2"/>
      </rPr>
      <t>(ug/L)</t>
    </r>
  </si>
  <si>
    <r>
      <t xml:space="preserve">2. LOWEST VALUE FOR EACH ENDPOINT </t>
    </r>
    <r>
      <rPr>
        <sz val="10"/>
        <color rgb="FF000000"/>
        <rFont val="Calibri"/>
        <family val="2"/>
      </rPr>
      <t xml:space="preserve">(Groupings in Column AM) </t>
    </r>
    <r>
      <rPr>
        <b/>
        <sz val="10"/>
        <color rgb="FF000000"/>
        <rFont val="Calibri"/>
        <family val="2"/>
      </rPr>
      <t>(ug/L)</t>
    </r>
  </si>
  <si>
    <t>Chronic NOEC/EC10</t>
  </si>
  <si>
    <t>Chronic LOEC</t>
  </si>
  <si>
    <t>Chronic EC/LC50</t>
  </si>
  <si>
    <t>Acute NOEC/EC10</t>
  </si>
  <si>
    <t>Acute LOEC</t>
  </si>
  <si>
    <t>Acute EC/LC50</t>
  </si>
  <si>
    <t>Selection Groupings</t>
  </si>
  <si>
    <t>Multiplied Conversion Factors (EC10 conversion Factor x ACR)</t>
  </si>
  <si>
    <r>
      <t>CONCENTRATION CONVERSIONS (</t>
    </r>
    <r>
      <rPr>
        <b/>
        <i/>
        <sz val="11"/>
        <color theme="0"/>
        <rFont val="Calibri"/>
        <family val="2"/>
        <scheme val="minor"/>
      </rPr>
      <t>see Table 1 far right</t>
    </r>
    <r>
      <rPr>
        <b/>
        <sz val="11"/>
        <color theme="0"/>
        <rFont val="Calibri"/>
        <family val="2"/>
        <scheme val="minor"/>
      </rPr>
      <t>)</t>
    </r>
  </si>
  <si>
    <t>Preferential Selection Groupings (see Table 2)</t>
  </si>
  <si>
    <t>Table 1: TABLE OF CONVERSION FACTORS (Warne et al 2014)</t>
  </si>
  <si>
    <t>Table 2: Preferential Selection Groupings</t>
  </si>
  <si>
    <t>Accept highest preference group per species.</t>
  </si>
  <si>
    <t>Final Results</t>
  </si>
  <si>
    <t>Is it Bimodal?</t>
  </si>
  <si>
    <t>618-1</t>
  </si>
  <si>
    <t>Freshwater</t>
  </si>
  <si>
    <t>Chlorophyta</t>
  </si>
  <si>
    <t>Trebouxiophyceae</t>
  </si>
  <si>
    <t>Not stated</t>
  </si>
  <si>
    <t>Growth: Inhibition</t>
  </si>
  <si>
    <t>Hours</t>
  </si>
  <si>
    <t>834-3</t>
  </si>
  <si>
    <t>Chlorella pyrenoidosa</t>
  </si>
  <si>
    <t>Population Abundance</t>
  </si>
  <si>
    <t>889-2-GD-Reentered</t>
  </si>
  <si>
    <t>Elodea canadensis</t>
  </si>
  <si>
    <t>Tracheophyta</t>
  </si>
  <si>
    <t>Liliopsida</t>
  </si>
  <si>
    <t>Macrophyte</t>
  </si>
  <si>
    <t>Population: Biomass Dry Weight</t>
  </si>
  <si>
    <t>Days</t>
  </si>
  <si>
    <t>889-5-GD-Reentered</t>
  </si>
  <si>
    <t>Growth: Shoot length</t>
  </si>
  <si>
    <t>889-6-GD-Reentered</t>
  </si>
  <si>
    <t>889-8-GD-Reentered</t>
  </si>
  <si>
    <t>927-1-OK</t>
  </si>
  <si>
    <t>Lemna gibba</t>
  </si>
  <si>
    <t>Growth rate: Frond count</t>
  </si>
  <si>
    <t>927-2-OK</t>
  </si>
  <si>
    <t>927-3-OK</t>
  </si>
  <si>
    <t>927-4-OK</t>
  </si>
  <si>
    <t>928-7-OK</t>
  </si>
  <si>
    <t>Growth rate: Theoretical frond area</t>
  </si>
  <si>
    <t>928-8-OK</t>
  </si>
  <si>
    <t>928-9-OK</t>
  </si>
  <si>
    <t>930-1-OK</t>
  </si>
  <si>
    <t>887-1-GD</t>
  </si>
  <si>
    <t>Lemna minor</t>
  </si>
  <si>
    <t>Growth rate: Frond area</t>
  </si>
  <si>
    <t>874-5</t>
  </si>
  <si>
    <t>Population: Relative Growth Rate</t>
  </si>
  <si>
    <t>874-6</t>
  </si>
  <si>
    <t>889-1-GD-Reentered</t>
  </si>
  <si>
    <t>Myriophyllum spicatum</t>
  </si>
  <si>
    <t>Magnoliopsida</t>
  </si>
  <si>
    <t>837-3</t>
  </si>
  <si>
    <t>Raphidocelis subcapitata</t>
  </si>
  <si>
    <t>Chlorophyceae</t>
  </si>
  <si>
    <t>887-2-GD</t>
  </si>
  <si>
    <t>Pseudokircheriella subcapitata</t>
  </si>
  <si>
    <t>Growth rate: Algal density</t>
  </si>
  <si>
    <t>874-12</t>
  </si>
  <si>
    <t>Pseudokirchneriella subcapitata</t>
  </si>
  <si>
    <t>874-13</t>
  </si>
  <si>
    <t>888-1-GD</t>
  </si>
  <si>
    <t>Selenastrum capricornutum</t>
  </si>
  <si>
    <t>614-1</t>
  </si>
  <si>
    <t>Scenedesmus obliquus</t>
  </si>
  <si>
    <t>929-1-OK</t>
  </si>
  <si>
    <t>Scenedesmus vacuolatus</t>
  </si>
  <si>
    <t>Reproduction Inhibition: Cell Number</t>
  </si>
  <si>
    <t>EC05</t>
  </si>
  <si>
    <t>uM</t>
  </si>
  <si>
    <t>929-2-OK</t>
  </si>
  <si>
    <t>929-3-OK</t>
  </si>
  <si>
    <t>Anabaena flos-aquae</t>
  </si>
  <si>
    <t>Cyanobacteria</t>
  </si>
  <si>
    <t>Cyanophyceae</t>
  </si>
  <si>
    <t>Biomass yield, growth rate, area under the growth curve</t>
  </si>
  <si>
    <t>PPB</t>
  </si>
  <si>
    <t>Hour</t>
  </si>
  <si>
    <t>PPM</t>
  </si>
  <si>
    <t>Total frond number, growth rate (number of fronds per day), mortality (percentage of dead fronds to total number of fronds)</t>
  </si>
  <si>
    <t>Navicula pelliculosa</t>
  </si>
  <si>
    <t>Oncorhynchus mykiss</t>
  </si>
  <si>
    <t>ErlyLf</t>
  </si>
  <si>
    <t>Conversion Table</t>
  </si>
  <si>
    <t>From</t>
  </si>
  <si>
    <t>To</t>
  </si>
  <si>
    <t>Factor</t>
  </si>
  <si>
    <t>uglL</t>
  </si>
  <si>
    <t>Population: Growth Inhibition</t>
  </si>
  <si>
    <t xml:space="preserve">Growth </t>
  </si>
  <si>
    <t>Chlorophyll-a</t>
  </si>
  <si>
    <t>Growth Rate</t>
  </si>
  <si>
    <t>Bacillariophyta</t>
  </si>
  <si>
    <t>Bacillariophyceae</t>
  </si>
  <si>
    <t>Abundance</t>
  </si>
  <si>
    <t>Biomass</t>
  </si>
  <si>
    <t>Dry Weight</t>
  </si>
  <si>
    <t>Shoot Length</t>
  </si>
  <si>
    <t>Root Occurrence</t>
  </si>
  <si>
    <t>Population: Growth Inhibition (Frond number)</t>
  </si>
  <si>
    <t>Frond Area</t>
  </si>
  <si>
    <t>Cell Density</t>
  </si>
  <si>
    <t>a</t>
  </si>
  <si>
    <t>b</t>
  </si>
  <si>
    <t>a-i</t>
  </si>
  <si>
    <t>b-i</t>
  </si>
  <si>
    <t>Organism Type</t>
  </si>
  <si>
    <t>If yes - sort final results first into Hetero/phototrophs groups</t>
  </si>
  <si>
    <t>Sort final results by Preferential selection groupings</t>
  </si>
  <si>
    <t>940-1</t>
  </si>
  <si>
    <t>Exponential growth culture</t>
  </si>
  <si>
    <t>Population: Growth (flourescence as a measure of chlorophylla-)</t>
  </si>
  <si>
    <t>EC20</t>
  </si>
  <si>
    <t>940</t>
  </si>
  <si>
    <t>940-2</t>
  </si>
  <si>
    <t>941-1</t>
  </si>
  <si>
    <t>14 days</t>
  </si>
  <si>
    <t>Growth rate: Dry weight</t>
  </si>
  <si>
    <t>941</t>
  </si>
  <si>
    <t>941-2</t>
  </si>
  <si>
    <t>941-3</t>
  </si>
  <si>
    <t>Lemna trisulca</t>
  </si>
  <si>
    <t>941-4</t>
  </si>
  <si>
    <t>Ceratophyllum demersum</t>
  </si>
  <si>
    <t>941-5</t>
  </si>
  <si>
    <t>Growth: Specific leaf area</t>
  </si>
  <si>
    <t>941-6</t>
  </si>
  <si>
    <t>941-7</t>
  </si>
  <si>
    <t>941-8</t>
  </si>
  <si>
    <t>941-9</t>
  </si>
  <si>
    <t>941-10</t>
  </si>
  <si>
    <t>941-11</t>
  </si>
  <si>
    <t>941-12</t>
  </si>
  <si>
    <t>941-13</t>
  </si>
  <si>
    <t>Ceratophyllum submersum</t>
  </si>
  <si>
    <t>941-14</t>
  </si>
  <si>
    <t>941-15</t>
  </si>
  <si>
    <t>Potamogeton crispus</t>
  </si>
  <si>
    <t>941-16</t>
  </si>
  <si>
    <t>Batrachium trichophyllum</t>
  </si>
  <si>
    <t>941-17</t>
  </si>
  <si>
    <t>Berula erecta</t>
  </si>
  <si>
    <t>961-1</t>
  </si>
  <si>
    <t>Scenedesmus quadricauda</t>
  </si>
  <si>
    <t>Growth: Cell density</t>
  </si>
  <si>
    <t>961</t>
  </si>
  <si>
    <t>856-23</t>
  </si>
  <si>
    <t>856</t>
  </si>
  <si>
    <t>856-24</t>
  </si>
  <si>
    <t xml:space="preserve"> umol/L</t>
  </si>
  <si>
    <t>umol/L</t>
  </si>
  <si>
    <t xml:space="preserve">Spirodela polyrrhiza (Lemna polyrhiza) </t>
  </si>
  <si>
    <t>Leaf Area</t>
  </si>
  <si>
    <t>Fresh Weight:Dry Weight</t>
  </si>
  <si>
    <t>Population: Biomass (flourescence)</t>
  </si>
  <si>
    <t>Fluorescence</t>
  </si>
  <si>
    <t>Frond Count</t>
  </si>
  <si>
    <t>Growth, Growth Rate</t>
  </si>
  <si>
    <t>Biomass, Growth Rate, AUC</t>
  </si>
  <si>
    <t>Growth, Growth Rate, Mortality</t>
  </si>
  <si>
    <t>Total Frond Number, Growth Rate, Mortality</t>
  </si>
  <si>
    <t>Chronic NOEC</t>
  </si>
  <si>
    <t>Preferential Selection Groupings</t>
  </si>
  <si>
    <t>Chronic EC10</t>
  </si>
  <si>
    <t>NOEL</t>
  </si>
  <si>
    <t>b-ii</t>
  </si>
  <si>
    <t>c</t>
  </si>
  <si>
    <t>c-i</t>
  </si>
  <si>
    <t>Myriophyllum aquaticum</t>
  </si>
  <si>
    <t>866-4</t>
  </si>
  <si>
    <t>867-2</t>
  </si>
  <si>
    <t>867-5</t>
  </si>
  <si>
    <t>Population: Abundance: ChlA</t>
  </si>
  <si>
    <t>Population: Growth: Total Shoot Length</t>
  </si>
  <si>
    <t>Chlorophyll-a content</t>
  </si>
  <si>
    <t>Total shoot length</t>
  </si>
  <si>
    <t>889-3-GD-Reentered</t>
  </si>
  <si>
    <t>Development: Root Occurence</t>
  </si>
  <si>
    <t>Apical shoot (WW 2.30g - 2.35g)</t>
  </si>
  <si>
    <t>Apical shoot (19.5 cm)</t>
  </si>
  <si>
    <t>889-4-GD-Reentered</t>
  </si>
  <si>
    <t>889-7-GD-Reentered</t>
  </si>
  <si>
    <t>Chronic NOEL</t>
  </si>
  <si>
    <t>Do Not Use</t>
  </si>
  <si>
    <t>FINAL QUALITY CHECK (14/06/2017)</t>
  </si>
  <si>
    <t>OK added in</t>
  </si>
  <si>
    <t>1258-1</t>
  </si>
  <si>
    <t>1258-2</t>
  </si>
  <si>
    <t>1258-3</t>
  </si>
  <si>
    <t>1258-4</t>
  </si>
  <si>
    <t>1258-5</t>
  </si>
  <si>
    <t>1258-6</t>
  </si>
  <si>
    <t>1258-7</t>
  </si>
  <si>
    <t>1258-8</t>
  </si>
  <si>
    <t>Frond area</t>
  </si>
  <si>
    <t>1259-2</t>
  </si>
  <si>
    <t>1259-3</t>
  </si>
  <si>
    <t>1259-4</t>
  </si>
  <si>
    <t>1259-1</t>
  </si>
  <si>
    <t>Dry weight</t>
  </si>
  <si>
    <t>Biomass yield: Increase in fronds</t>
  </si>
  <si>
    <t>Increase in fronds</t>
  </si>
  <si>
    <t>Root Growth</t>
  </si>
  <si>
    <t>Root</t>
  </si>
  <si>
    <t>d</t>
  </si>
  <si>
    <t>d-1</t>
  </si>
  <si>
    <t>Growth rate: Front number</t>
  </si>
  <si>
    <t>Done</t>
  </si>
  <si>
    <t xml:space="preserve">Chemical: </t>
  </si>
  <si>
    <t>Metsulfuron-methyl</t>
  </si>
  <si>
    <t>CAS Number:</t>
  </si>
  <si>
    <t>74223-64-6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</si>
</sst>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</font>
    <font>
      <b/>
      <sz val="10"/>
      <color rgb="FF000000"/>
      <name val="Calibri"/>
      <family val="2"/>
    </font>
    <font>
      <sz val="10"/>
      <color theme="1"/>
      <name val="Calibri"/>
      <family val="2"/>
      <scheme val="minor"/>
    </font>
    <font>
      <b/>
      <sz val="10"/>
      <color rgb="FF3F3F3F"/>
      <name val="Calibri"/>
      <family val="2"/>
      <scheme val="minor"/>
    </font>
    <font>
      <b/>
      <sz val="10"/>
      <name val="Calibri"/>
      <family val="2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sz val="10"/>
      <color rgb="FF000000"/>
      <name val="Calibri"/>
      <family val="2"/>
    </font>
    <font>
      <b/>
      <sz val="11"/>
      <color theme="0"/>
      <name val="Calibri"/>
      <family val="2"/>
    </font>
    <font>
      <b/>
      <sz val="10"/>
      <color theme="0"/>
      <name val="Arial"/>
      <family val="2"/>
    </font>
    <font>
      <b/>
      <i/>
      <sz val="10"/>
      <color theme="0"/>
      <name val="Arial"/>
      <family val="2"/>
    </font>
    <font>
      <sz val="10"/>
      <name val="Calibri"/>
      <family val="2"/>
    </font>
    <font>
      <b/>
      <i/>
      <sz val="10"/>
      <color rgb="FF3F3F3F"/>
      <name val="Calibri"/>
      <family val="2"/>
      <scheme val="minor"/>
    </font>
    <font>
      <u/>
      <sz val="10"/>
      <color indexed="12"/>
      <name val="Arial"/>
      <family val="2"/>
    </font>
    <font>
      <sz val="11"/>
      <color theme="1" tint="0.499984740745262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sz val="10"/>
      <name val="Arial Unicode MS"/>
      <family val="2"/>
    </font>
    <font>
      <sz val="10"/>
      <color theme="0" tint="-0.499984740745262"/>
      <name val="Calibri"/>
      <family val="2"/>
      <scheme val="minor"/>
    </font>
    <font>
      <sz val="10"/>
      <name val="Calibri"/>
      <family val="2"/>
      <scheme val="minor"/>
    </font>
    <font>
      <sz val="10"/>
      <name val="Arial Unicode MS"/>
      <family val="2"/>
    </font>
    <font>
      <b/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3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00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3"/>
        <bgColor indexed="64"/>
      </patternFill>
    </fill>
    <fill>
      <patternFill patternType="solid">
        <fgColor theme="5" tint="0.59999389629810485"/>
        <bgColor rgb="FFC0C0C0"/>
      </patternFill>
    </fill>
    <fill>
      <patternFill patternType="solid">
        <fgColor theme="3" tint="0.79998168889431442"/>
        <bgColor rgb="FFC0C0C0"/>
      </patternFill>
    </fill>
    <fill>
      <patternFill patternType="solid">
        <fgColor rgb="FFC00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rgb="FFC0C0C0"/>
      </patternFill>
    </fill>
    <fill>
      <patternFill patternType="solid">
        <fgColor theme="9" tint="0.79998168889431442"/>
        <bgColor rgb="FFC0C0C0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2"/>
        <bgColor rgb="FFC0C0C0"/>
      </patternFill>
    </fill>
    <fill>
      <patternFill patternType="solid">
        <fgColor rgb="FFCCFFFF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99FF"/>
        <bgColor rgb="FFC0C0C0"/>
      </patternFill>
    </fill>
    <fill>
      <patternFill patternType="solid">
        <fgColor rgb="FFFF99FF"/>
        <bgColor rgb="FF000000"/>
      </patternFill>
    </fill>
    <fill>
      <patternFill patternType="solid">
        <fgColor rgb="FF99FFCC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rgb="FF3F3F3F"/>
      </left>
      <right/>
      <top/>
      <bottom/>
      <diagonal/>
    </border>
    <border>
      <left style="double">
        <color rgb="FF3F3F3F"/>
      </left>
      <right/>
      <top style="double">
        <color rgb="FF3F3F3F"/>
      </top>
      <bottom style="double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0" fontId="2" fillId="2" borderId="1" applyNumberFormat="0" applyAlignment="0" applyProtection="0"/>
    <xf numFmtId="0" fontId="3" fillId="3" borderId="2" applyNumberFormat="0" applyAlignment="0" applyProtection="0"/>
    <xf numFmtId="0" fontId="7" fillId="0" borderId="0"/>
    <xf numFmtId="0" fontId="1" fillId="0" borderId="0"/>
    <xf numFmtId="0" fontId="24" fillId="0" borderId="0"/>
    <xf numFmtId="0" fontId="24" fillId="0" borderId="0"/>
    <xf numFmtId="0" fontId="21" fillId="0" borderId="0" applyNumberFormat="0" applyFill="0" applyBorder="0" applyAlignment="0" applyProtection="0">
      <alignment vertical="top"/>
      <protection locked="0"/>
    </xf>
    <xf numFmtId="9" fontId="24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  <xf numFmtId="0" fontId="24" fillId="0" borderId="0"/>
    <xf numFmtId="9" fontId="24" fillId="0" borderId="0" applyFont="0" applyFill="0" applyBorder="0" applyAlignment="0" applyProtection="0"/>
  </cellStyleXfs>
  <cellXfs count="167">
    <xf numFmtId="0" fontId="0" fillId="0" borderId="0" xfId="0"/>
    <xf numFmtId="0" fontId="5" fillId="0" borderId="0" xfId="0" applyFont="1" applyFill="1" applyBorder="1" applyAlignment="1">
      <alignment horizontal="center"/>
    </xf>
    <xf numFmtId="0" fontId="0" fillId="0" borderId="0" xfId="0" applyFill="1" applyBorder="1"/>
    <xf numFmtId="0" fontId="11" fillId="0" borderId="0" xfId="4" applyFont="1" applyFill="1" applyBorder="1" applyAlignment="1" applyProtection="1">
      <alignment horizontal="center" vertical="center" wrapText="1"/>
    </xf>
    <xf numFmtId="0" fontId="8" fillId="6" borderId="0" xfId="4" applyFont="1" applyFill="1" applyBorder="1" applyAlignment="1" applyProtection="1">
      <alignment horizontal="center" vertical="center" wrapText="1"/>
    </xf>
    <xf numFmtId="0" fontId="8" fillId="11" borderId="0" xfId="4" applyFont="1" applyFill="1" applyBorder="1" applyAlignment="1" applyProtection="1">
      <alignment horizontal="center" vertical="center" wrapText="1"/>
    </xf>
    <xf numFmtId="0" fontId="0" fillId="0" borderId="0" xfId="0" applyBorder="1"/>
    <xf numFmtId="0" fontId="6" fillId="0" borderId="0" xfId="0" applyFont="1" applyBorder="1"/>
    <xf numFmtId="0" fontId="0" fillId="0" borderId="0" xfId="0" applyBorder="1" applyAlignment="1">
      <alignment horizontal="center"/>
    </xf>
    <xf numFmtId="0" fontId="11" fillId="9" borderId="0" xfId="4" applyFont="1" applyFill="1" applyBorder="1" applyAlignment="1" applyProtection="1">
      <alignment horizontal="center" vertical="center" wrapText="1"/>
    </xf>
    <xf numFmtId="0" fontId="11" fillId="12" borderId="0" xfId="4" applyFont="1" applyFill="1" applyBorder="1" applyAlignment="1" applyProtection="1">
      <alignment horizontal="center" vertical="center" wrapText="1"/>
    </xf>
    <xf numFmtId="0" fontId="10" fillId="14" borderId="0" xfId="1" applyFont="1" applyFill="1" applyBorder="1" applyAlignment="1" applyProtection="1">
      <alignment horizontal="center" vertical="center" wrapText="1"/>
    </xf>
    <xf numFmtId="0" fontId="9" fillId="0" borderId="0" xfId="0" applyFont="1" applyBorder="1" applyAlignment="1">
      <alignment wrapText="1"/>
    </xf>
    <xf numFmtId="0" fontId="11" fillId="16" borderId="0" xfId="4" applyFont="1" applyFill="1" applyBorder="1" applyAlignment="1" applyProtection="1">
      <alignment horizontal="center" vertical="center" wrapText="1"/>
    </xf>
    <xf numFmtId="0" fontId="8" fillId="16" borderId="0" xfId="4" applyFont="1" applyFill="1" applyBorder="1" applyAlignment="1" applyProtection="1">
      <alignment horizontal="center" vertical="center" wrapText="1"/>
    </xf>
    <xf numFmtId="0" fontId="11" fillId="17" borderId="0" xfId="4" applyFont="1" applyFill="1" applyBorder="1" applyAlignment="1" applyProtection="1">
      <alignment horizontal="center" vertical="center" wrapText="1"/>
    </xf>
    <xf numFmtId="0" fontId="8" fillId="17" borderId="0" xfId="4" applyFont="1" applyFill="1" applyBorder="1" applyAlignment="1" applyProtection="1">
      <alignment horizontal="center" vertical="center" wrapText="1"/>
    </xf>
    <xf numFmtId="0" fontId="16" fillId="15" borderId="0" xfId="4" applyFont="1" applyFill="1" applyBorder="1" applyAlignment="1" applyProtection="1">
      <alignment horizontal="center" vertical="center" wrapText="1"/>
    </xf>
    <xf numFmtId="0" fontId="11" fillId="5" borderId="0" xfId="4" applyFont="1" applyFill="1" applyBorder="1" applyAlignment="1" applyProtection="1">
      <alignment horizontal="center" vertical="center" wrapText="1"/>
    </xf>
    <xf numFmtId="0" fontId="10" fillId="2" borderId="0" xfId="1" applyFont="1" applyBorder="1" applyAlignment="1" applyProtection="1">
      <alignment horizontal="center" vertical="center" wrapText="1"/>
    </xf>
    <xf numFmtId="0" fontId="1" fillId="0" borderId="0" xfId="4" applyBorder="1" applyAlignment="1">
      <alignment wrapText="1"/>
    </xf>
    <xf numFmtId="0" fontId="4" fillId="0" borderId="0" xfId="0" applyFont="1" applyBorder="1"/>
    <xf numFmtId="0" fontId="8" fillId="25" borderId="0" xfId="4" applyFont="1" applyFill="1" applyBorder="1" applyAlignment="1" applyProtection="1">
      <alignment horizontal="center" vertical="center" wrapText="1"/>
    </xf>
    <xf numFmtId="0" fontId="20" fillId="2" borderId="0" xfId="1" applyFont="1" applyBorder="1" applyAlignment="1" applyProtection="1">
      <alignment horizontal="center" vertical="center" wrapText="1"/>
    </xf>
    <xf numFmtId="0" fontId="8" fillId="0" borderId="0" xfId="4" applyFont="1" applyFill="1" applyBorder="1" applyAlignment="1" applyProtection="1">
      <alignment horizontal="center" vertical="center" wrapText="1"/>
    </xf>
    <xf numFmtId="0" fontId="17" fillId="0" borderId="0" xfId="3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0" fillId="0" borderId="0" xfId="1" applyFont="1" applyFill="1" applyBorder="1" applyAlignment="1" applyProtection="1">
      <alignment horizontal="center" vertical="center" wrapText="1"/>
    </xf>
    <xf numFmtId="0" fontId="8" fillId="26" borderId="0" xfId="4" applyFont="1" applyFill="1" applyBorder="1" applyAlignment="1" applyProtection="1">
      <alignment horizontal="center" vertical="center" wrapText="1"/>
    </xf>
    <xf numFmtId="0" fontId="8" fillId="26" borderId="0" xfId="4" applyFont="1" applyFill="1" applyBorder="1" applyAlignment="1" applyProtection="1">
      <alignment horizontal="center" vertical="top" wrapText="1"/>
    </xf>
    <xf numFmtId="0" fontId="11" fillId="26" borderId="0" xfId="4" applyFont="1" applyFill="1" applyBorder="1" applyAlignment="1">
      <alignment horizontal="center" vertical="top" wrapText="1"/>
    </xf>
    <xf numFmtId="0" fontId="4" fillId="20" borderId="0" xfId="0" applyFont="1" applyFill="1" applyBorder="1" applyAlignment="1">
      <alignment horizontal="center" vertical="center"/>
    </xf>
    <xf numFmtId="0" fontId="4" fillId="2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23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horizontal="left"/>
    </xf>
    <xf numFmtId="0" fontId="23" fillId="0" borderId="0" xfId="0" applyFont="1" applyAlignment="1">
      <alignment horizontal="left"/>
    </xf>
    <xf numFmtId="0" fontId="23" fillId="0" borderId="0" xfId="0" applyFont="1" applyFill="1" applyAlignment="1">
      <alignment horizontal="left"/>
    </xf>
    <xf numFmtId="0" fontId="23" fillId="0" borderId="0" xfId="0" applyFont="1" applyBorder="1" applyAlignment="1">
      <alignment horizontal="left"/>
    </xf>
    <xf numFmtId="0" fontId="25" fillId="0" borderId="0" xfId="6" applyFont="1" applyAlignment="1">
      <alignment horizontal="right"/>
    </xf>
    <xf numFmtId="0" fontId="26" fillId="0" borderId="0" xfId="6" applyFont="1" applyAlignment="1">
      <alignment horizontal="right"/>
    </xf>
    <xf numFmtId="0" fontId="23" fillId="0" borderId="0" xfId="0" applyFont="1" applyFill="1" applyBorder="1" applyAlignment="1">
      <alignment horizontal="left"/>
    </xf>
    <xf numFmtId="0" fontId="9" fillId="0" borderId="0" xfId="0" applyFont="1" applyAlignment="1">
      <alignment horizontal="right"/>
    </xf>
    <xf numFmtId="0" fontId="0" fillId="0" borderId="0" xfId="0" applyAlignment="1">
      <alignment horizontal="left"/>
    </xf>
    <xf numFmtId="0" fontId="9" fillId="19" borderId="0" xfId="0" applyFont="1" applyFill="1" applyBorder="1"/>
    <xf numFmtId="0" fontId="9" fillId="19" borderId="0" xfId="0" applyFont="1" applyFill="1" applyBorder="1" applyAlignment="1">
      <alignment horizontal="center"/>
    </xf>
    <xf numFmtId="0" fontId="0" fillId="19" borderId="0" xfId="0" applyFill="1" applyBorder="1"/>
    <xf numFmtId="0" fontId="13" fillId="19" borderId="0" xfId="0" applyFont="1" applyFill="1" applyBorder="1" applyAlignment="1">
      <alignment wrapText="1"/>
    </xf>
    <xf numFmtId="0" fontId="13" fillId="19" borderId="0" xfId="0" applyFont="1" applyFill="1" applyBorder="1" applyAlignment="1">
      <alignment horizontal="center"/>
    </xf>
    <xf numFmtId="0" fontId="4" fillId="19" borderId="0" xfId="0" applyFont="1" applyFill="1" applyBorder="1" applyAlignment="1">
      <alignment horizontal="center"/>
    </xf>
    <xf numFmtId="0" fontId="3" fillId="3" borderId="2" xfId="2"/>
    <xf numFmtId="0" fontId="3" fillId="3" borderId="2" xfId="2" applyAlignment="1">
      <alignment wrapText="1"/>
    </xf>
    <xf numFmtId="0" fontId="17" fillId="22" borderId="3" xfId="3" applyFont="1" applyFill="1" applyBorder="1" applyAlignment="1"/>
    <xf numFmtId="0" fontId="17" fillId="22" borderId="0" xfId="3" applyFont="1" applyFill="1" applyBorder="1" applyAlignment="1"/>
    <xf numFmtId="0" fontId="4" fillId="7" borderId="0" xfId="0" applyFont="1" applyFill="1" applyBorder="1" applyAlignment="1"/>
    <xf numFmtId="0" fontId="4" fillId="7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 wrapText="1"/>
    </xf>
    <xf numFmtId="0" fontId="12" fillId="19" borderId="0" xfId="3" applyFont="1" applyFill="1" applyBorder="1" applyAlignment="1">
      <alignment wrapText="1"/>
    </xf>
    <xf numFmtId="0" fontId="3" fillId="3" borderId="2" xfId="2" applyAlignment="1">
      <alignment horizontal="center"/>
    </xf>
    <xf numFmtId="0" fontId="30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29" fillId="0" borderId="0" xfId="0" applyFont="1" applyFill="1" applyBorder="1" applyAlignment="1">
      <alignment horizontal="center"/>
    </xf>
    <xf numFmtId="0" fontId="6" fillId="0" borderId="0" xfId="0" applyFont="1" applyFill="1" applyBorder="1"/>
    <xf numFmtId="0" fontId="31" fillId="0" borderId="0" xfId="0" applyFont="1" applyFill="1" applyAlignment="1">
      <alignment vertical="center"/>
    </xf>
    <xf numFmtId="0" fontId="4" fillId="0" borderId="0" xfId="0" applyFont="1"/>
    <xf numFmtId="0" fontId="4" fillId="0" borderId="0" xfId="0" applyFont="1" applyFill="1"/>
    <xf numFmtId="0" fontId="28" fillId="30" borderId="0" xfId="0" applyFont="1" applyFill="1" applyBorder="1" applyAlignment="1">
      <alignment horizontal="center" vertical="center" wrapText="1"/>
    </xf>
    <xf numFmtId="0" fontId="10" fillId="31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0" borderId="0" xfId="0" applyFill="1"/>
    <xf numFmtId="0" fontId="5" fillId="13" borderId="0" xfId="0" applyFont="1" applyFill="1"/>
    <xf numFmtId="0" fontId="3" fillId="3" borderId="2" xfId="2" applyAlignment="1">
      <alignment horizontal="left"/>
    </xf>
    <xf numFmtId="0" fontId="3" fillId="3" borderId="2" xfId="2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8" fillId="6" borderId="0" xfId="4" applyFont="1" applyFill="1" applyBorder="1" applyAlignment="1" applyProtection="1">
      <alignment horizontal="center" vertic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0" fillId="2" borderId="0" xfId="1" applyFont="1" applyBorder="1" applyAlignment="1" applyProtection="1">
      <alignment horizontal="center" vertical="center" wrapText="1"/>
    </xf>
    <xf numFmtId="0" fontId="9" fillId="19" borderId="0" xfId="0" applyFont="1" applyFill="1" applyBorder="1" applyAlignment="1">
      <alignment horizontal="center"/>
    </xf>
    <xf numFmtId="0" fontId="3" fillId="3" borderId="2" xfId="2" applyAlignment="1">
      <alignment horizontal="center"/>
    </xf>
    <xf numFmtId="0" fontId="4" fillId="23" borderId="0" xfId="0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0" fontId="17" fillId="22" borderId="0" xfId="3" applyFont="1" applyFill="1" applyBorder="1" applyAlignment="1">
      <alignment horizontal="center"/>
    </xf>
    <xf numFmtId="0" fontId="3" fillId="3" borderId="4" xfId="2" applyBorder="1"/>
    <xf numFmtId="0" fontId="3" fillId="0" borderId="0" xfId="2" applyFill="1" applyBorder="1"/>
    <xf numFmtId="0" fontId="3" fillId="0" borderId="0" xfId="2" applyFill="1" applyBorder="1" applyAlignment="1">
      <alignment horizontal="center"/>
    </xf>
    <xf numFmtId="0" fontId="4" fillId="0" borderId="0" xfId="4" applyFont="1" applyFill="1" applyBorder="1" applyAlignment="1">
      <alignment vertical="center" wrapText="1"/>
    </xf>
    <xf numFmtId="0" fontId="28" fillId="31" borderId="0" xfId="0" applyFont="1" applyFill="1" applyBorder="1" applyAlignment="1">
      <alignment horizontal="center" vertical="top" wrapText="1"/>
    </xf>
    <xf numFmtId="0" fontId="3" fillId="0" borderId="0" xfId="2" applyFill="1" applyBorder="1" applyAlignment="1">
      <alignment wrapText="1"/>
    </xf>
    <xf numFmtId="0" fontId="4" fillId="0" borderId="0" xfId="0" applyFont="1" applyBorder="1" applyAlignment="1"/>
    <xf numFmtId="0" fontId="0" fillId="0" borderId="0" xfId="0" applyAlignment="1">
      <alignment horizontal="right"/>
    </xf>
    <xf numFmtId="0" fontId="3" fillId="3" borderId="0" xfId="2" applyBorder="1"/>
    <xf numFmtId="2" fontId="0" fillId="0" borderId="0" xfId="0" applyNumberFormat="1" applyFill="1" applyAlignment="1">
      <alignment horizontal="center"/>
    </xf>
    <xf numFmtId="164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ill="1" applyAlignment="1">
      <alignment horizontal="right"/>
    </xf>
    <xf numFmtId="0" fontId="32" fillId="0" borderId="0" xfId="0" applyFont="1" applyBorder="1"/>
    <xf numFmtId="0" fontId="32" fillId="0" borderId="0" xfId="0" applyFont="1"/>
    <xf numFmtId="0" fontId="32" fillId="0" borderId="0" xfId="0" applyFont="1" applyFill="1" applyBorder="1"/>
    <xf numFmtId="0" fontId="32" fillId="0" borderId="0" xfId="2" applyFont="1" applyFill="1" applyBorder="1"/>
    <xf numFmtId="0" fontId="32" fillId="0" borderId="5" xfId="2" applyFont="1" applyFill="1" applyBorder="1"/>
    <xf numFmtId="0" fontId="32" fillId="0" borderId="0" xfId="0" applyFont="1" applyFill="1"/>
    <xf numFmtId="165" fontId="32" fillId="0" borderId="0" xfId="0" applyNumberFormat="1" applyFont="1" applyBorder="1"/>
    <xf numFmtId="165" fontId="32" fillId="0" borderId="0" xfId="0" applyNumberFormat="1" applyFont="1" applyFill="1" applyBorder="1"/>
    <xf numFmtId="165" fontId="32" fillId="0" borderId="0" xfId="2" applyNumberFormat="1" applyFont="1" applyFill="1" applyBorder="1"/>
    <xf numFmtId="164" fontId="32" fillId="0" borderId="0" xfId="0" applyNumberFormat="1" applyFont="1" applyFill="1" applyBorder="1"/>
    <xf numFmtId="1" fontId="32" fillId="0" borderId="0" xfId="0" applyNumberFormat="1" applyFont="1" applyFill="1" applyBorder="1"/>
    <xf numFmtId="1" fontId="32" fillId="0" borderId="0" xfId="0" applyNumberFormat="1" applyFont="1" applyBorder="1"/>
    <xf numFmtId="0" fontId="33" fillId="0" borderId="0" xfId="2" applyFont="1" applyFill="1" applyBorder="1" applyAlignment="1"/>
    <xf numFmtId="0" fontId="37" fillId="0" borderId="0" xfId="0" applyFont="1" applyFill="1" applyBorder="1"/>
    <xf numFmtId="0" fontId="36" fillId="7" borderId="0" xfId="0" applyFont="1" applyFill="1" applyBorder="1"/>
    <xf numFmtId="0" fontId="36" fillId="7" borderId="5" xfId="0" applyFont="1" applyFill="1" applyBorder="1"/>
    <xf numFmtId="0" fontId="33" fillId="33" borderId="0" xfId="0" applyFont="1" applyFill="1" applyBorder="1" applyAlignment="1">
      <alignment vertical="center"/>
    </xf>
    <xf numFmtId="0" fontId="0" fillId="34" borderId="0" xfId="0" applyFill="1" applyAlignment="1">
      <alignment horizontal="center"/>
    </xf>
    <xf numFmtId="0" fontId="0" fillId="34" borderId="0" xfId="0" applyFill="1"/>
    <xf numFmtId="0" fontId="3" fillId="34" borderId="2" xfId="2" applyFill="1"/>
    <xf numFmtId="0" fontId="0" fillId="34" borderId="0" xfId="0" applyFill="1" applyBorder="1" applyAlignment="1">
      <alignment horizontal="center"/>
    </xf>
    <xf numFmtId="0" fontId="0" fillId="34" borderId="0" xfId="0" applyFill="1" applyBorder="1"/>
    <xf numFmtId="0" fontId="0" fillId="0" borderId="0" xfId="0" applyFill="1"/>
    <xf numFmtId="0" fontId="0" fillId="4" borderId="0" xfId="0" applyFill="1" applyBorder="1"/>
    <xf numFmtId="0" fontId="34" fillId="0" borderId="0" xfId="0" applyFont="1" applyBorder="1" applyAlignment="1">
      <alignment vertical="center" wrapText="1"/>
    </xf>
    <xf numFmtId="0" fontId="0" fillId="0" borderId="0" xfId="0" applyAlignment="1">
      <alignment horizontal="center" wrapText="1"/>
    </xf>
    <xf numFmtId="49" fontId="21" fillId="0" borderId="0" xfId="7" applyNumberFormat="1" applyAlignment="1" applyProtection="1">
      <alignment horizontal="center"/>
    </xf>
    <xf numFmtId="0" fontId="0" fillId="35" borderId="0" xfId="0" applyFill="1" applyBorder="1" applyAlignment="1">
      <alignment horizontal="center"/>
    </xf>
    <xf numFmtId="0" fontId="28" fillId="30" borderId="6" xfId="0" applyFont="1" applyFill="1" applyBorder="1" applyAlignment="1">
      <alignment horizontal="center" vertical="center" wrapText="1"/>
    </xf>
    <xf numFmtId="0" fontId="28" fillId="31" borderId="6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wrapText="1"/>
    </xf>
    <xf numFmtId="0" fontId="6" fillId="0" borderId="0" xfId="0" applyFont="1" applyFill="1"/>
    <xf numFmtId="0" fontId="35" fillId="0" borderId="0" xfId="0" applyFont="1" applyBorder="1"/>
    <xf numFmtId="0" fontId="31" fillId="32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7" fillId="27" borderId="0" xfId="3" applyFont="1" applyFill="1" applyBorder="1" applyAlignment="1">
      <alignment horizontal="center" vertical="center"/>
    </xf>
    <xf numFmtId="0" fontId="3" fillId="18" borderId="0" xfId="0" applyFont="1" applyFill="1" applyBorder="1" applyAlignment="1">
      <alignment horizontal="center" vertical="center"/>
    </xf>
    <xf numFmtId="0" fontId="4" fillId="29" borderId="0" xfId="0" applyFont="1" applyFill="1" applyBorder="1" applyAlignment="1">
      <alignment horizontal="center" vertical="center"/>
    </xf>
    <xf numFmtId="0" fontId="38" fillId="4" borderId="0" xfId="0" applyFont="1" applyFill="1" applyBorder="1" applyAlignment="1">
      <alignment horizontal="center" vertical="center" wrapText="1"/>
    </xf>
    <xf numFmtId="0" fontId="3" fillId="24" borderId="0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/>
    </xf>
    <xf numFmtId="0" fontId="4" fillId="23" borderId="0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 vertical="center"/>
    </xf>
    <xf numFmtId="0" fontId="3" fillId="8" borderId="0" xfId="0" applyFont="1" applyFill="1" applyBorder="1" applyAlignment="1">
      <alignment horizontal="center" vertical="center"/>
    </xf>
    <xf numFmtId="0" fontId="5" fillId="10" borderId="0" xfId="0" applyFont="1" applyFill="1" applyBorder="1" applyAlignment="1">
      <alignment horizontal="center" vertical="center"/>
    </xf>
    <xf numFmtId="0" fontId="3" fillId="21" borderId="0" xfId="4" applyFont="1" applyFill="1" applyBorder="1" applyAlignment="1">
      <alignment horizontal="center" vertical="center" wrapText="1"/>
    </xf>
    <xf numFmtId="0" fontId="4" fillId="28" borderId="0" xfId="4" applyFont="1" applyFill="1" applyBorder="1" applyAlignment="1">
      <alignment horizontal="center" vertical="center" wrapText="1"/>
    </xf>
  </cellXfs>
  <cellStyles count="16">
    <cellStyle name="Check Cell" xfId="2" builtinId="23"/>
    <cellStyle name="Hyperlink 2" xfId="7" xr:uid="{00000000-0005-0000-0000-000002000000}"/>
    <cellStyle name="Normal" xfId="0" builtinId="0"/>
    <cellStyle name="Normal 2" xfId="4" xr:uid="{00000000-0005-0000-0000-000004000000}"/>
    <cellStyle name="Normal 2 2" xfId="6" xr:uid="{00000000-0005-0000-0000-000005000000}"/>
    <cellStyle name="Normal 3" xfId="5" xr:uid="{00000000-0005-0000-0000-000006000000}"/>
    <cellStyle name="Normal 4" xfId="9" xr:uid="{00000000-0005-0000-0000-000007000000}"/>
    <cellStyle name="Normal 4 2" xfId="12" xr:uid="{00000000-0005-0000-0000-000008000000}"/>
    <cellStyle name="Normal 4 3" xfId="14" xr:uid="{00000000-0005-0000-0000-000009000000}"/>
    <cellStyle name="Normal_Sheet1" xfId="3" xr:uid="{00000000-0005-0000-0000-00000A000000}"/>
    <cellStyle name="Output" xfId="1" builtinId="21"/>
    <cellStyle name="Percent 2" xfId="8" xr:uid="{00000000-0005-0000-0000-00000C000000}"/>
    <cellStyle name="Percent 3" xfId="11" xr:uid="{00000000-0005-0000-0000-00000D000000}"/>
    <cellStyle name="Percent 4" xfId="10" xr:uid="{00000000-0005-0000-0000-00000E000000}"/>
    <cellStyle name="Percent 4 2" xfId="13" xr:uid="{00000000-0005-0000-0000-00000F000000}"/>
    <cellStyle name="Percent 4 3" xfId="15" xr:uid="{00000000-0005-0000-0000-000010000000}"/>
  </cellStyles>
  <dxfs count="65"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ont>
        <color auto="1"/>
      </font>
      <fill>
        <patternFill>
          <bgColor rgb="FF66FF66"/>
        </patternFill>
      </fill>
    </dxf>
    <dxf>
      <font>
        <color theme="0"/>
      </font>
    </dxf>
    <dxf>
      <font>
        <color theme="0"/>
      </font>
      <fill>
        <patternFill>
          <bgColor theme="5" tint="-0.24994659260841701"/>
        </patternFill>
      </fill>
    </dxf>
    <dxf>
      <fill>
        <patternFill>
          <bgColor rgb="FF00FF00"/>
        </patternFill>
      </fill>
    </dxf>
  </dxfs>
  <tableStyles count="0" defaultTableStyle="TableStyleMedium2" defaultPivotStyle="PivotStyleLight16"/>
  <colors>
    <mruColors>
      <color rgb="FF66FFFF"/>
      <color rgb="FFCCFFFF"/>
      <color rgb="FFFF99FF"/>
      <color rgb="FF99FFCC"/>
      <color rgb="FF66FF66"/>
      <color rgb="FF00FF00"/>
      <color rgb="FF990000"/>
      <color rgb="FF99FF66"/>
      <color rgb="FF0000CC"/>
      <color rgb="FF00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algaebase.org/browse/taxonomy/?id=4356" TargetMode="External"/><Relationship Id="rId1" Type="http://schemas.openxmlformats.org/officeDocument/2006/relationships/hyperlink" Target="http://www.algaebase.org/browse/taxonomy/?id=4356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Q330"/>
  <sheetViews>
    <sheetView tabSelected="1" zoomScale="90" zoomScaleNormal="90" workbookViewId="0">
      <selection activeCell="A3" sqref="A3"/>
    </sheetView>
  </sheetViews>
  <sheetFormatPr baseColWidth="10" defaultColWidth="9.1640625" defaultRowHeight="17" thickTop="1" thickBottom="1" x14ac:dyDescent="0.25"/>
  <cols>
    <col min="1" max="1" width="10.6640625" style="6" customWidth="1"/>
    <col min="2" max="2" width="13" style="6" customWidth="1"/>
    <col min="3" max="3" width="3.83203125" style="2" customWidth="1"/>
    <col min="4" max="4" width="12.1640625" style="6" customWidth="1"/>
    <col min="5" max="5" width="33.83203125" style="6" bestFit="1" customWidth="1"/>
    <col min="6" max="6" width="16.33203125" style="6" customWidth="1"/>
    <col min="7" max="7" width="25.33203125" style="6" customWidth="1"/>
    <col min="8" max="8" width="18.33203125" style="6" customWidth="1"/>
    <col min="9" max="9" width="12.1640625" style="6" customWidth="1"/>
    <col min="10" max="10" width="21.33203125" style="6" customWidth="1"/>
    <col min="11" max="11" width="3.6640625" style="2" customWidth="1"/>
    <col min="12" max="12" width="26.5" style="35" customWidth="1"/>
    <col min="13" max="13" width="23" style="6" customWidth="1"/>
    <col min="14" max="14" width="32.1640625" style="6" customWidth="1"/>
    <col min="15" max="15" width="8.6640625" style="6" customWidth="1"/>
    <col min="16" max="16" width="10.5" style="6" customWidth="1"/>
    <col min="17" max="17" width="9.5" style="6" customWidth="1"/>
    <col min="18" max="18" width="11.1640625" style="6" customWidth="1"/>
    <col min="19" max="19" width="3.83203125" style="2" customWidth="1"/>
    <col min="20" max="20" width="8.83203125" style="2" customWidth="1"/>
    <col min="21" max="21" width="6.83203125" style="2" customWidth="1"/>
    <col min="22" max="22" width="10.5" style="2" customWidth="1"/>
    <col min="23" max="23" width="12.6640625" style="6" customWidth="1"/>
    <col min="24" max="24" width="3.5" style="6" customWidth="1"/>
    <col min="25" max="25" width="10.83203125" style="6" customWidth="1"/>
    <col min="26" max="26" width="9.1640625" style="6" customWidth="1"/>
    <col min="27" max="27" width="10.6640625" style="6" customWidth="1"/>
    <col min="28" max="28" width="11.5" style="6" customWidth="1"/>
    <col min="29" max="29" width="7.5" style="6" customWidth="1"/>
    <col min="30" max="30" width="10.5" style="6" customWidth="1"/>
    <col min="31" max="31" width="4.5" style="50" customWidth="1"/>
    <col min="32" max="32" width="33.5" style="8" customWidth="1"/>
    <col min="33" max="33" width="14.33203125" style="6" customWidth="1"/>
    <col min="34" max="34" width="13.5" style="6" customWidth="1"/>
    <col min="35" max="35" width="12.6640625" style="6" customWidth="1"/>
    <col min="36" max="36" width="20.33203125" style="81" customWidth="1"/>
    <col min="37" max="37" width="18.83203125" style="6" customWidth="1"/>
    <col min="38" max="38" width="10.33203125" style="81" customWidth="1"/>
    <col min="39" max="39" width="16.83203125" style="81" customWidth="1"/>
    <col min="40" max="40" width="16.5" style="81" customWidth="1"/>
    <col min="41" max="41" width="4" style="2" customWidth="1"/>
    <col min="42" max="42" width="17.33203125" style="8" customWidth="1"/>
    <col min="43" max="43" width="20.1640625" style="6" customWidth="1"/>
    <col min="44" max="44" width="18.33203125" style="6" customWidth="1"/>
    <col min="45" max="46" width="14.83203125" style="6" customWidth="1"/>
    <col min="47" max="48" width="4.6640625" style="6" customWidth="1"/>
    <col min="49" max="49" width="13.1640625" style="80" bestFit="1" customWidth="1"/>
    <col min="50" max="50" width="23.5" style="6" bestFit="1" customWidth="1"/>
    <col min="51" max="51" width="13.1640625" style="6" customWidth="1"/>
    <col min="52" max="53" width="15.1640625" style="6" customWidth="1"/>
    <col min="54" max="54" width="16" style="6" customWidth="1"/>
    <col min="55" max="55" width="11.5" style="6" bestFit="1" customWidth="1"/>
    <col min="56" max="56" width="14" style="89" customWidth="1"/>
    <col min="57" max="57" width="14.5" style="89" customWidth="1"/>
    <col min="58" max="58" width="31.83203125" style="77" customWidth="1"/>
    <col min="59" max="59" width="33.33203125" style="77" customWidth="1"/>
    <col min="60" max="60" width="18.1640625" style="77" customWidth="1"/>
    <col min="61" max="61" width="18.33203125" style="77" customWidth="1"/>
    <col min="62" max="62" width="12" style="77" customWidth="1"/>
    <col min="63" max="63" width="9.1640625" style="77"/>
    <col min="64" max="64" width="21" style="77" customWidth="1"/>
    <col min="65" max="65" width="19" style="77" customWidth="1"/>
    <col min="66" max="66" width="23.1640625" style="77" customWidth="1"/>
    <col min="67" max="67" width="12.1640625" style="77" customWidth="1"/>
    <col min="68" max="69" width="9.1640625" style="77"/>
    <col min="70" max="16384" width="9.1640625" style="6"/>
  </cols>
  <sheetData>
    <row r="1" spans="1:69" thickTop="1" thickBot="1" x14ac:dyDescent="0.25">
      <c r="A1" s="94" t="s">
        <v>291</v>
      </c>
      <c r="B1" s="94" t="s">
        <v>292</v>
      </c>
      <c r="C1" s="77"/>
      <c r="D1" s="80"/>
      <c r="BF1" s="64"/>
      <c r="BG1" s="65"/>
      <c r="BH1" s="6"/>
      <c r="BI1" s="6"/>
      <c r="BJ1" s="6"/>
      <c r="BK1" s="6"/>
      <c r="BL1" s="6"/>
      <c r="BM1" s="80"/>
      <c r="BN1" s="6"/>
      <c r="BO1" s="6"/>
      <c r="BP1" s="6"/>
      <c r="BQ1" s="6"/>
    </row>
    <row r="2" spans="1:69" s="80" customFormat="1" thickTop="1" thickBot="1" x14ac:dyDescent="0.25">
      <c r="A2" s="94" t="s">
        <v>293</v>
      </c>
      <c r="B2" s="64" t="s">
        <v>294</v>
      </c>
      <c r="C2" s="77"/>
      <c r="K2" s="77"/>
      <c r="L2" s="35"/>
      <c r="S2" s="77"/>
      <c r="T2" s="77"/>
      <c r="U2" s="77"/>
      <c r="V2" s="77"/>
      <c r="AE2" s="72"/>
      <c r="AF2" s="81"/>
      <c r="AJ2" s="81"/>
      <c r="AL2" s="81"/>
      <c r="AM2" s="81"/>
      <c r="AN2" s="81"/>
      <c r="AO2" s="77"/>
      <c r="AP2" s="81"/>
      <c r="BD2" s="89"/>
      <c r="BE2" s="89"/>
      <c r="BF2" s="64"/>
      <c r="BG2" s="65"/>
    </row>
    <row r="3" spans="1:69" thickTop="1" thickBot="1" x14ac:dyDescent="0.25">
      <c r="A3" s="7"/>
      <c r="BF3" s="80"/>
      <c r="BG3" s="64" t="s">
        <v>93</v>
      </c>
      <c r="BH3" s="65" t="s">
        <v>190</v>
      </c>
      <c r="BI3" s="80"/>
      <c r="BJ3" s="80"/>
      <c r="BK3" s="80"/>
      <c r="BL3" s="80"/>
      <c r="BM3" s="80"/>
      <c r="BN3" s="6"/>
      <c r="BO3" s="6"/>
      <c r="BP3" s="6"/>
      <c r="BQ3" s="6"/>
    </row>
    <row r="4" spans="1:69" thickTop="1" thickBot="1" x14ac:dyDescent="0.25">
      <c r="A4" s="21"/>
      <c r="BF4" s="80"/>
      <c r="BG4" s="63" t="s">
        <v>191</v>
      </c>
      <c r="BH4" s="80"/>
      <c r="BI4" s="80"/>
      <c r="BJ4" s="80"/>
      <c r="BK4" s="80"/>
      <c r="BL4" s="80"/>
      <c r="BM4" s="80"/>
      <c r="BN4" s="6"/>
      <c r="BO4" s="6"/>
      <c r="BP4" s="6"/>
      <c r="BQ4" s="6"/>
    </row>
    <row r="5" spans="1:69" ht="17.25" customHeight="1" thickTop="1" thickBot="1" x14ac:dyDescent="0.25">
      <c r="A5" s="159" t="s">
        <v>37</v>
      </c>
      <c r="B5" s="159"/>
      <c r="C5" s="33"/>
      <c r="D5" s="163" t="s">
        <v>29</v>
      </c>
      <c r="E5" s="163"/>
      <c r="F5" s="163"/>
      <c r="G5" s="163"/>
      <c r="H5" s="163"/>
      <c r="I5" s="163"/>
      <c r="J5" s="163"/>
      <c r="K5" s="33"/>
      <c r="L5" s="164" t="s">
        <v>28</v>
      </c>
      <c r="M5" s="164"/>
      <c r="N5" s="164"/>
      <c r="O5" s="164"/>
      <c r="P5" s="164"/>
      <c r="Q5" s="164"/>
      <c r="R5" s="164"/>
      <c r="S5" s="1"/>
      <c r="T5" s="162" t="s">
        <v>27</v>
      </c>
      <c r="U5" s="162"/>
      <c r="V5" s="162"/>
      <c r="W5" s="162"/>
      <c r="X5" s="8"/>
      <c r="Y5" s="156" t="s">
        <v>87</v>
      </c>
      <c r="Z5" s="156"/>
      <c r="AA5" s="156"/>
      <c r="AB5" s="156"/>
      <c r="AC5" s="156"/>
      <c r="AD5" s="156"/>
      <c r="AF5" s="52" t="s">
        <v>35</v>
      </c>
      <c r="AG5" s="53"/>
      <c r="AH5" s="53"/>
      <c r="AI5" s="53"/>
      <c r="AJ5" s="87"/>
      <c r="AK5" s="53"/>
      <c r="AL5" s="87"/>
      <c r="AM5" s="87"/>
      <c r="AN5" s="87"/>
      <c r="AO5" s="25"/>
      <c r="AP5" s="155" t="s">
        <v>46</v>
      </c>
      <c r="AQ5" s="155"/>
      <c r="AR5" s="155"/>
      <c r="AS5" s="155"/>
      <c r="AT5" s="154" t="s">
        <v>36</v>
      </c>
      <c r="AW5" s="157" t="s">
        <v>92</v>
      </c>
      <c r="AX5" s="157"/>
      <c r="AY5" s="157"/>
      <c r="AZ5" s="157"/>
      <c r="BA5" s="157"/>
      <c r="BB5" s="157"/>
      <c r="BC5" s="157"/>
      <c r="BD5" s="158" t="s">
        <v>267</v>
      </c>
      <c r="BF5" s="153" t="s">
        <v>92</v>
      </c>
      <c r="BG5" s="153"/>
      <c r="BH5" s="153"/>
      <c r="BI5" s="153"/>
      <c r="BJ5" s="153"/>
      <c r="BK5" s="153"/>
      <c r="BL5" s="153"/>
      <c r="BM5" s="80"/>
      <c r="BN5" s="2"/>
      <c r="BO5" s="2"/>
      <c r="BP5" s="6"/>
      <c r="BQ5" s="6"/>
    </row>
    <row r="6" spans="1:69" thickTop="1" thickBot="1" x14ac:dyDescent="0.25">
      <c r="A6" s="159"/>
      <c r="B6" s="159"/>
      <c r="C6" s="33"/>
      <c r="D6" s="163"/>
      <c r="E6" s="163"/>
      <c r="F6" s="163"/>
      <c r="G6" s="163"/>
      <c r="H6" s="163"/>
      <c r="I6" s="163"/>
      <c r="J6" s="163"/>
      <c r="K6" s="33"/>
      <c r="L6" s="164"/>
      <c r="M6" s="164"/>
      <c r="N6" s="164"/>
      <c r="O6" s="164"/>
      <c r="P6" s="164"/>
      <c r="Q6" s="164"/>
      <c r="R6" s="164"/>
      <c r="T6" s="162"/>
      <c r="U6" s="162"/>
      <c r="V6" s="162"/>
      <c r="W6" s="162"/>
      <c r="Y6" s="156"/>
      <c r="Z6" s="156"/>
      <c r="AA6" s="156"/>
      <c r="AB6" s="156"/>
      <c r="AC6" s="156"/>
      <c r="AD6" s="156"/>
      <c r="AF6" s="161" t="s">
        <v>42</v>
      </c>
      <c r="AG6" s="161"/>
      <c r="AH6" s="54" t="s">
        <v>43</v>
      </c>
      <c r="AI6" s="34"/>
      <c r="AJ6" s="85"/>
      <c r="AK6" s="161" t="s">
        <v>44</v>
      </c>
      <c r="AL6" s="161"/>
      <c r="AM6" s="160" t="s">
        <v>45</v>
      </c>
      <c r="AN6" s="160"/>
      <c r="AO6" s="26"/>
      <c r="AP6" s="155"/>
      <c r="AQ6" s="155"/>
      <c r="AR6" s="155"/>
      <c r="AS6" s="155"/>
      <c r="AT6" s="154"/>
      <c r="AW6" s="157"/>
      <c r="AX6" s="157"/>
      <c r="AY6" s="157"/>
      <c r="AZ6" s="157"/>
      <c r="BA6" s="157"/>
      <c r="BB6" s="157"/>
      <c r="BC6" s="157"/>
      <c r="BD6" s="158"/>
      <c r="BF6" s="153"/>
      <c r="BG6" s="153"/>
      <c r="BH6" s="153"/>
      <c r="BI6" s="153"/>
      <c r="BJ6" s="153"/>
      <c r="BK6" s="153"/>
      <c r="BL6" s="153"/>
      <c r="BM6" s="80"/>
      <c r="BN6" s="2"/>
      <c r="BO6" s="2"/>
      <c r="BP6" s="6"/>
      <c r="BQ6" s="6"/>
    </row>
    <row r="7" spans="1:69" s="12" customFormat="1" ht="73.5" customHeight="1" thickTop="1" thickBot="1" x14ac:dyDescent="0.25">
      <c r="A7" s="22" t="s">
        <v>38</v>
      </c>
      <c r="B7" s="22" t="s">
        <v>0</v>
      </c>
      <c r="C7" s="24"/>
      <c r="D7" s="9" t="s">
        <v>1</v>
      </c>
      <c r="E7" s="9" t="s">
        <v>2</v>
      </c>
      <c r="F7" s="9" t="s">
        <v>3</v>
      </c>
      <c r="G7" s="9" t="s">
        <v>58</v>
      </c>
      <c r="H7" s="9" t="s">
        <v>7</v>
      </c>
      <c r="I7" s="9" t="s">
        <v>8</v>
      </c>
      <c r="J7" s="9" t="s">
        <v>11</v>
      </c>
      <c r="K7" s="3"/>
      <c r="L7" s="10" t="s">
        <v>61</v>
      </c>
      <c r="M7" s="10" t="s">
        <v>5</v>
      </c>
      <c r="N7" s="10" t="s">
        <v>26</v>
      </c>
      <c r="O7" s="10" t="s">
        <v>4</v>
      </c>
      <c r="P7" s="10" t="s">
        <v>9</v>
      </c>
      <c r="Q7" s="10" t="s">
        <v>10</v>
      </c>
      <c r="R7" s="10" t="s">
        <v>6</v>
      </c>
      <c r="S7" s="3"/>
      <c r="T7" s="11" t="s">
        <v>63</v>
      </c>
      <c r="U7" s="11" t="s">
        <v>64</v>
      </c>
      <c r="V7" s="11" t="s">
        <v>47</v>
      </c>
      <c r="W7" s="5" t="s">
        <v>65</v>
      </c>
      <c r="Y7" s="13" t="s">
        <v>68</v>
      </c>
      <c r="Z7" s="14" t="s">
        <v>31</v>
      </c>
      <c r="AA7" s="14" t="s">
        <v>32</v>
      </c>
      <c r="AB7" s="15" t="s">
        <v>69</v>
      </c>
      <c r="AC7" s="16" t="s">
        <v>30</v>
      </c>
      <c r="AD7" s="17" t="s">
        <v>33</v>
      </c>
      <c r="AE7" s="51"/>
      <c r="AF7" s="18" t="s">
        <v>72</v>
      </c>
      <c r="AG7" s="18" t="s">
        <v>73</v>
      </c>
      <c r="AH7" s="18" t="s">
        <v>74</v>
      </c>
      <c r="AI7" s="19" t="s">
        <v>88</v>
      </c>
      <c r="AJ7" s="82" t="s">
        <v>91</v>
      </c>
      <c r="AK7" s="4" t="s">
        <v>75</v>
      </c>
      <c r="AL7" s="23" t="s">
        <v>40</v>
      </c>
      <c r="AM7" s="79" t="s">
        <v>76</v>
      </c>
      <c r="AN7" s="23" t="s">
        <v>39</v>
      </c>
      <c r="AO7" s="27"/>
      <c r="AP7" s="17" t="s">
        <v>33</v>
      </c>
      <c r="AQ7" s="28" t="s">
        <v>77</v>
      </c>
      <c r="AR7" s="29" t="s">
        <v>78</v>
      </c>
      <c r="AS7" s="30" t="s">
        <v>41</v>
      </c>
      <c r="AT7" s="154"/>
      <c r="AW7" s="66" t="s">
        <v>189</v>
      </c>
      <c r="AX7" s="66" t="s">
        <v>2</v>
      </c>
      <c r="AY7" s="66" t="s">
        <v>3</v>
      </c>
      <c r="AZ7" s="66" t="s">
        <v>58</v>
      </c>
      <c r="BA7" s="66" t="s">
        <v>8</v>
      </c>
      <c r="BB7" s="67" t="s">
        <v>88</v>
      </c>
      <c r="BC7" s="92" t="s">
        <v>41</v>
      </c>
      <c r="BD7" s="158"/>
      <c r="BE7" s="93"/>
      <c r="BF7" s="148" t="s">
        <v>189</v>
      </c>
      <c r="BG7" s="148" t="s">
        <v>2</v>
      </c>
      <c r="BH7" s="148" t="s">
        <v>3</v>
      </c>
      <c r="BI7" s="148" t="s">
        <v>58</v>
      </c>
      <c r="BJ7" s="148" t="s">
        <v>8</v>
      </c>
      <c r="BK7" s="148" t="s">
        <v>245</v>
      </c>
      <c r="BL7" s="149" t="s">
        <v>41</v>
      </c>
      <c r="BM7" s="80"/>
      <c r="BN7" s="91"/>
      <c r="BO7" s="91"/>
      <c r="BP7" s="20"/>
      <c r="BQ7" s="20"/>
    </row>
    <row r="8" spans="1:69" s="77" customFormat="1" ht="16.5" customHeight="1" thickTop="1" thickBot="1" x14ac:dyDescent="0.25">
      <c r="A8" s="73">
        <v>13984</v>
      </c>
      <c r="B8" s="73">
        <v>2016076</v>
      </c>
      <c r="C8" s="73"/>
      <c r="D8" s="73" t="s">
        <v>95</v>
      </c>
      <c r="E8" s="118" t="s">
        <v>155</v>
      </c>
      <c r="F8" s="99" t="s">
        <v>156</v>
      </c>
      <c r="G8" s="99" t="s">
        <v>157</v>
      </c>
      <c r="H8" s="99" t="s">
        <v>17</v>
      </c>
      <c r="I8" s="99" t="s">
        <v>18</v>
      </c>
      <c r="J8" s="73" t="s">
        <v>98</v>
      </c>
      <c r="K8" s="73"/>
      <c r="L8" s="73" t="s">
        <v>158</v>
      </c>
      <c r="M8" s="68" t="s">
        <v>240</v>
      </c>
      <c r="N8" s="68" t="s">
        <v>241</v>
      </c>
      <c r="O8" s="73" t="s">
        <v>247</v>
      </c>
      <c r="P8" s="73">
        <v>5</v>
      </c>
      <c r="Q8" s="73" t="s">
        <v>110</v>
      </c>
      <c r="R8" s="73" t="s">
        <v>16</v>
      </c>
      <c r="S8" s="73"/>
      <c r="T8" s="73">
        <v>95.4</v>
      </c>
      <c r="U8" s="73" t="s">
        <v>159</v>
      </c>
      <c r="V8" s="75">
        <f>VLOOKUP(U8,'Conversion tables'!$M$5:$O$8,3,FALSE)</f>
        <v>1</v>
      </c>
      <c r="W8" s="73">
        <f>V8*T8</f>
        <v>95.4</v>
      </c>
      <c r="X8" s="73"/>
      <c r="Y8" s="73" t="str">
        <f>O8</f>
        <v>NOEL</v>
      </c>
      <c r="Z8" s="118">
        <f>VLOOKUP(Y8,'Conversion tables'!$C$5:$E$19,2,FALSE)</f>
        <v>1</v>
      </c>
      <c r="AA8" s="73">
        <f>W8/Z8</f>
        <v>95.4</v>
      </c>
      <c r="AB8" s="73" t="str">
        <f>R8</f>
        <v>Chronic</v>
      </c>
      <c r="AC8" s="73">
        <f>VLOOKUP(AB8,'Conversion tables'!$C$22:$E$23,2,FALSE)</f>
        <v>1</v>
      </c>
      <c r="AD8" s="73">
        <f>AA8/AC8</f>
        <v>95.4</v>
      </c>
      <c r="AE8" s="50"/>
      <c r="AF8" s="8" t="str">
        <f>E8</f>
        <v>Anabaena flos-aquae</v>
      </c>
      <c r="AG8" s="81" t="str">
        <f>O8</f>
        <v>NOEL</v>
      </c>
      <c r="AH8" s="81" t="str">
        <f>R8</f>
        <v>Chronic</v>
      </c>
      <c r="AI8" s="81">
        <f>VLOOKUP(SUM(Z8,AC8),'Conversion tables'!$J$5:$K$11,2,FALSE)</f>
        <v>1</v>
      </c>
      <c r="AJ8" s="81" t="str">
        <f>IF(AI8=MIN($AI$8:$AI$8),"YES!!!","Reject")</f>
        <v>YES!!!</v>
      </c>
      <c r="AK8" s="6" t="str">
        <f>N8</f>
        <v>Biomass, Growth Rate, AUC</v>
      </c>
      <c r="AL8" s="81" t="s">
        <v>185</v>
      </c>
      <c r="AM8" s="81" t="str">
        <f>CONCATENATE(P8," ",Q8)</f>
        <v>5 Days</v>
      </c>
      <c r="AN8" s="81" t="s">
        <v>187</v>
      </c>
      <c r="AO8" s="2"/>
      <c r="AP8" s="8">
        <f>AD8</f>
        <v>95.4</v>
      </c>
      <c r="AQ8" s="6">
        <f>GEOMEAN(AP8)</f>
        <v>95.4</v>
      </c>
      <c r="AR8" s="86">
        <f>MIN(AQ8)</f>
        <v>95.4</v>
      </c>
      <c r="AS8" s="86">
        <f>MIN(AR8)</f>
        <v>95.4</v>
      </c>
      <c r="AT8" s="147" t="s">
        <v>290</v>
      </c>
      <c r="AU8"/>
      <c r="AV8"/>
      <c r="AW8" s="76" t="str">
        <f>H8</f>
        <v>Microalgae</v>
      </c>
      <c r="AX8" t="str">
        <f>E8</f>
        <v>Anabaena flos-aquae</v>
      </c>
      <c r="AY8" t="str">
        <f>F8</f>
        <v>Cyanobacteria</v>
      </c>
      <c r="AZ8" t="str">
        <f>G8</f>
        <v>Cyanophyceae</v>
      </c>
      <c r="BA8" t="str">
        <f>I8</f>
        <v>Phototroph</v>
      </c>
      <c r="BB8">
        <f>AI8</f>
        <v>1</v>
      </c>
      <c r="BC8" s="6">
        <f>AS8</f>
        <v>95.4</v>
      </c>
      <c r="BD8" s="147" t="s">
        <v>290</v>
      </c>
      <c r="BE8" s="132"/>
      <c r="BF8" s="122" t="s">
        <v>17</v>
      </c>
      <c r="BG8" s="134" t="s">
        <v>155</v>
      </c>
      <c r="BH8" s="122" t="s">
        <v>156</v>
      </c>
      <c r="BI8" s="120" t="s">
        <v>157</v>
      </c>
      <c r="BJ8" s="120" t="s">
        <v>18</v>
      </c>
      <c r="BK8" s="120">
        <v>1</v>
      </c>
      <c r="BL8" s="77">
        <v>95.4</v>
      </c>
      <c r="BM8" s="136" t="s">
        <v>265</v>
      </c>
      <c r="BO8" s="144"/>
      <c r="BP8" s="144"/>
      <c r="BQ8" s="6"/>
    </row>
    <row r="9" spans="1:69" s="89" customFormat="1" ht="16.5" customHeight="1" thickTop="1" thickBot="1" x14ac:dyDescent="0.25">
      <c r="A9" s="71"/>
      <c r="B9" s="71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84"/>
      <c r="U9" s="84"/>
      <c r="V9" s="84"/>
      <c r="W9" s="84"/>
      <c r="X9" s="72"/>
      <c r="Y9" s="72"/>
      <c r="Z9" s="72"/>
      <c r="AA9" s="72"/>
      <c r="AB9" s="72"/>
      <c r="AC9" s="72"/>
      <c r="AD9" s="72"/>
      <c r="AE9" s="72"/>
      <c r="AF9" s="84"/>
      <c r="AG9" s="72"/>
      <c r="AH9" s="84"/>
      <c r="AI9" s="72"/>
      <c r="AJ9" s="84"/>
      <c r="AK9" s="72"/>
      <c r="AL9" s="84"/>
      <c r="AM9" s="84"/>
      <c r="AN9" s="84"/>
      <c r="AO9" s="72"/>
      <c r="AP9" s="84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72"/>
      <c r="BC9" s="72"/>
      <c r="BE9" s="132"/>
      <c r="BF9" s="122" t="s">
        <v>108</v>
      </c>
      <c r="BG9" s="134" t="s">
        <v>105</v>
      </c>
      <c r="BH9" s="122" t="s">
        <v>106</v>
      </c>
      <c r="BI9" s="120" t="s">
        <v>107</v>
      </c>
      <c r="BJ9" s="120" t="s">
        <v>18</v>
      </c>
      <c r="BK9" s="120">
        <v>1</v>
      </c>
      <c r="BL9" s="77">
        <v>5.3999999999999999E-2</v>
      </c>
      <c r="BM9" s="136" t="s">
        <v>244</v>
      </c>
      <c r="BO9" s="144"/>
      <c r="BP9" s="144"/>
    </row>
    <row r="10" spans="1:69" s="77" customFormat="1" thickTop="1" thickBot="1" x14ac:dyDescent="0.25">
      <c r="A10" s="118" t="s">
        <v>201</v>
      </c>
      <c r="B10" s="86" t="s">
        <v>221</v>
      </c>
      <c r="C10" s="86"/>
      <c r="D10" s="86" t="s">
        <v>95</v>
      </c>
      <c r="E10" s="118" t="s">
        <v>222</v>
      </c>
      <c r="F10" s="86" t="s">
        <v>106</v>
      </c>
      <c r="G10" s="86" t="s">
        <v>134</v>
      </c>
      <c r="H10" s="86" t="s">
        <v>108</v>
      </c>
      <c r="I10" s="86" t="s">
        <v>18</v>
      </c>
      <c r="J10" s="86" t="s">
        <v>98</v>
      </c>
      <c r="K10" s="86"/>
      <c r="L10" s="86" t="s">
        <v>208</v>
      </c>
      <c r="M10" s="68" t="s">
        <v>62</v>
      </c>
      <c r="N10" s="68" t="s">
        <v>235</v>
      </c>
      <c r="O10" s="86" t="s">
        <v>15</v>
      </c>
      <c r="P10" s="86">
        <v>14</v>
      </c>
      <c r="Q10" s="86" t="s">
        <v>110</v>
      </c>
      <c r="R10" s="86" t="s">
        <v>16</v>
      </c>
      <c r="S10" s="86"/>
      <c r="T10" s="86">
        <v>7.0000000000000007E-2</v>
      </c>
      <c r="U10" s="86" t="s">
        <v>152</v>
      </c>
      <c r="V10" s="98">
        <v>381.36380000000003</v>
      </c>
      <c r="W10" s="86">
        <f>V10*T10</f>
        <v>26.695466000000003</v>
      </c>
      <c r="X10" s="86"/>
      <c r="Y10" s="86" t="str">
        <f>O10</f>
        <v>EC50</v>
      </c>
      <c r="Z10" s="118">
        <f>VLOOKUP(Y10,'Conversion tables'!$C$5:$E$19,2,FALSE)</f>
        <v>5</v>
      </c>
      <c r="AA10" s="86">
        <f>W10/Z10</f>
        <v>5.3390932000000006</v>
      </c>
      <c r="AB10" s="86" t="str">
        <f>R10</f>
        <v>Chronic</v>
      </c>
      <c r="AC10" s="86">
        <f>VLOOKUP(AB10,'Conversion tables'!$C$22:$E$23,2,FALSE)</f>
        <v>1</v>
      </c>
      <c r="AD10" s="86">
        <f>AA10/AC10</f>
        <v>5.3390932000000006</v>
      </c>
      <c r="AE10" s="72"/>
      <c r="AF10" s="81" t="str">
        <f>E10</f>
        <v>Batrachium trichophyllum</v>
      </c>
      <c r="AG10" s="81" t="str">
        <f>O10</f>
        <v>EC50</v>
      </c>
      <c r="AH10" s="81" t="str">
        <f>R10</f>
        <v>Chronic</v>
      </c>
      <c r="AI10" s="81">
        <f>VLOOKUP(SUM(Z10,AC10),'Conversion tables'!$J$5:$K$11,2,FALSE)</f>
        <v>2</v>
      </c>
      <c r="AJ10" s="81" t="str">
        <f>IF(AI10=MIN($AI$10),"YES!!!","Reject")</f>
        <v>YES!!!</v>
      </c>
      <c r="AK10" s="80" t="str">
        <f>N10</f>
        <v>Leaf Area</v>
      </c>
      <c r="AL10" s="81" t="s">
        <v>185</v>
      </c>
      <c r="AM10" s="81" t="str">
        <f>CONCATENATE(P10," ",Q10)</f>
        <v>14 Days</v>
      </c>
      <c r="AN10" s="81" t="s">
        <v>187</v>
      </c>
      <c r="AP10" s="81">
        <f>AD10</f>
        <v>5.3390932000000006</v>
      </c>
      <c r="AQ10" s="80">
        <f>GEOMEAN(AP10)</f>
        <v>5.3390932000000006</v>
      </c>
      <c r="AR10" s="118">
        <f>MIN(AQ10)</f>
        <v>5.3390932000000006</v>
      </c>
      <c r="AS10" s="118">
        <f>MIN(AR10)</f>
        <v>5.3390932000000006</v>
      </c>
      <c r="AT10" s="147" t="s">
        <v>290</v>
      </c>
      <c r="AU10" s="76"/>
      <c r="AV10" s="76"/>
      <c r="AW10" s="76" t="str">
        <f>H10</f>
        <v>Macrophyte</v>
      </c>
      <c r="AX10" s="76" t="str">
        <f>E10</f>
        <v>Batrachium trichophyllum</v>
      </c>
      <c r="AY10" s="76" t="str">
        <f>F10</f>
        <v>Tracheophyta</v>
      </c>
      <c r="AZ10" s="76" t="str">
        <f>G10</f>
        <v>Magnoliopsida</v>
      </c>
      <c r="BA10" s="76" t="str">
        <f>I10</f>
        <v>Phototroph</v>
      </c>
      <c r="BB10" s="76">
        <f>AI10</f>
        <v>2</v>
      </c>
      <c r="BC10" s="80">
        <f>AS10</f>
        <v>5.3390932000000006</v>
      </c>
      <c r="BD10" s="147" t="s">
        <v>290</v>
      </c>
      <c r="BE10" s="132"/>
      <c r="BF10" s="122" t="s">
        <v>108</v>
      </c>
      <c r="BG10" s="134" t="s">
        <v>116</v>
      </c>
      <c r="BH10" s="122" t="s">
        <v>106</v>
      </c>
      <c r="BI10" s="120" t="s">
        <v>107</v>
      </c>
      <c r="BJ10" s="120" t="s">
        <v>18</v>
      </c>
      <c r="BK10" s="120">
        <v>1</v>
      </c>
      <c r="BL10" s="77">
        <v>0.19342258772823756</v>
      </c>
      <c r="BM10" s="136" t="s">
        <v>246</v>
      </c>
      <c r="BO10" s="144"/>
      <c r="BP10" s="144"/>
      <c r="BQ10" s="80"/>
    </row>
    <row r="11" spans="1:69" s="89" customFormat="1" ht="16.5" customHeight="1" thickTop="1" thickBot="1" x14ac:dyDescent="0.25">
      <c r="A11" s="71"/>
      <c r="B11" s="71"/>
      <c r="C11" s="72"/>
      <c r="D11" s="72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2"/>
      <c r="P11" s="72"/>
      <c r="Q11" s="72"/>
      <c r="R11" s="72"/>
      <c r="S11" s="72"/>
      <c r="T11" s="84"/>
      <c r="U11" s="84"/>
      <c r="V11" s="84"/>
      <c r="W11" s="84"/>
      <c r="X11" s="72"/>
      <c r="Y11" s="72"/>
      <c r="Z11" s="72"/>
      <c r="AA11" s="72"/>
      <c r="AB11" s="72"/>
      <c r="AC11" s="72"/>
      <c r="AD11" s="72"/>
      <c r="AE11" s="72"/>
      <c r="AF11" s="84"/>
      <c r="AG11" s="72"/>
      <c r="AH11" s="84"/>
      <c r="AI11" s="72"/>
      <c r="AJ11" s="84"/>
      <c r="AK11" s="72"/>
      <c r="AL11" s="84"/>
      <c r="AM11" s="84"/>
      <c r="AN11" s="84"/>
      <c r="AO11" s="72"/>
      <c r="AP11" s="84"/>
      <c r="AQ11" s="72"/>
      <c r="AR11" s="72"/>
      <c r="AS11" s="72"/>
      <c r="AT11" s="72"/>
      <c r="AU11" s="72"/>
      <c r="AV11" s="72"/>
      <c r="AW11" s="72"/>
      <c r="AX11" s="72"/>
      <c r="AY11" s="72"/>
      <c r="AZ11" s="72"/>
      <c r="BA11" s="72"/>
      <c r="BB11" s="72"/>
      <c r="BC11" s="72"/>
      <c r="BE11" s="132"/>
      <c r="BF11" s="122" t="s">
        <v>108</v>
      </c>
      <c r="BG11" s="134" t="s">
        <v>127</v>
      </c>
      <c r="BH11" s="122" t="s">
        <v>106</v>
      </c>
      <c r="BI11" s="120" t="s">
        <v>107</v>
      </c>
      <c r="BJ11" s="120" t="s">
        <v>18</v>
      </c>
      <c r="BK11" s="120">
        <v>1</v>
      </c>
      <c r="BL11" s="77">
        <v>0.1</v>
      </c>
      <c r="BM11" s="136" t="s">
        <v>244</v>
      </c>
      <c r="BO11" s="144"/>
      <c r="BP11" s="144"/>
    </row>
    <row r="12" spans="1:69" s="77" customFormat="1" thickTop="1" thickBot="1" x14ac:dyDescent="0.25">
      <c r="A12" s="86" t="s">
        <v>201</v>
      </c>
      <c r="B12" s="86" t="s">
        <v>223</v>
      </c>
      <c r="C12" s="86"/>
      <c r="D12" s="86" t="s">
        <v>95</v>
      </c>
      <c r="E12" s="118" t="s">
        <v>224</v>
      </c>
      <c r="F12" s="86" t="s">
        <v>106</v>
      </c>
      <c r="G12" s="86" t="s">
        <v>134</v>
      </c>
      <c r="H12" s="86" t="s">
        <v>108</v>
      </c>
      <c r="I12" s="86" t="s">
        <v>18</v>
      </c>
      <c r="J12" s="86" t="s">
        <v>98</v>
      </c>
      <c r="K12" s="86"/>
      <c r="L12" s="86" t="s">
        <v>208</v>
      </c>
      <c r="M12" s="68" t="s">
        <v>62</v>
      </c>
      <c r="N12" s="68" t="s">
        <v>235</v>
      </c>
      <c r="O12" s="86" t="s">
        <v>15</v>
      </c>
      <c r="P12" s="86">
        <v>14</v>
      </c>
      <c r="Q12" s="86" t="s">
        <v>110</v>
      </c>
      <c r="R12" s="86" t="s">
        <v>16</v>
      </c>
      <c r="S12" s="86"/>
      <c r="T12" s="86">
        <v>3.92</v>
      </c>
      <c r="U12" s="86" t="s">
        <v>67</v>
      </c>
      <c r="V12" s="86">
        <f>VLOOKUP(U12,'Conversion tables'!$M$5:$O$8,3,FALSE)</f>
        <v>1</v>
      </c>
      <c r="W12" s="86">
        <f>V12*T12</f>
        <v>3.92</v>
      </c>
      <c r="X12" s="86"/>
      <c r="Y12" s="86" t="str">
        <f>O12</f>
        <v>EC50</v>
      </c>
      <c r="Z12" s="118">
        <f>VLOOKUP(Y12,'Conversion tables'!$C$5:$E$19,2,FALSE)</f>
        <v>5</v>
      </c>
      <c r="AA12" s="86">
        <f>W12/Z12</f>
        <v>0.78400000000000003</v>
      </c>
      <c r="AB12" s="86" t="str">
        <f>R12</f>
        <v>Chronic</v>
      </c>
      <c r="AC12" s="86">
        <f>VLOOKUP(AB12,'Conversion tables'!$C$22:$E$23,2,FALSE)</f>
        <v>1</v>
      </c>
      <c r="AD12" s="86">
        <f>AA12/AC12</f>
        <v>0.78400000000000003</v>
      </c>
      <c r="AE12" s="72"/>
      <c r="AF12" s="81" t="str">
        <f>E12</f>
        <v>Berula erecta</v>
      </c>
      <c r="AG12" s="81" t="str">
        <f>O12</f>
        <v>EC50</v>
      </c>
      <c r="AH12" s="81" t="str">
        <f>R12</f>
        <v>Chronic</v>
      </c>
      <c r="AI12" s="81">
        <f>VLOOKUP(SUM(Z12,AC12),'Conversion tables'!$J$5:$K$11,2,FALSE)</f>
        <v>2</v>
      </c>
      <c r="AJ12" s="81" t="str">
        <f>IF(AI12=MIN($AI$12),"YES!!!","Reject")</f>
        <v>YES!!!</v>
      </c>
      <c r="AK12" s="80" t="str">
        <f>N12</f>
        <v>Leaf Area</v>
      </c>
      <c r="AL12" s="81" t="s">
        <v>185</v>
      </c>
      <c r="AM12" s="81" t="str">
        <f>CONCATENATE(P12," ",Q12)</f>
        <v>14 Days</v>
      </c>
      <c r="AN12" s="81" t="s">
        <v>187</v>
      </c>
      <c r="AP12" s="81">
        <f>AD12</f>
        <v>0.78400000000000003</v>
      </c>
      <c r="AQ12" s="80">
        <f>GEOMEAN(AP12)</f>
        <v>0.78400000000000003</v>
      </c>
      <c r="AR12" s="118">
        <f>MIN(AQ12)</f>
        <v>0.78400000000000003</v>
      </c>
      <c r="AS12" s="118">
        <f>MIN(AR12)</f>
        <v>0.78400000000000003</v>
      </c>
      <c r="AT12" s="147" t="s">
        <v>290</v>
      </c>
      <c r="AU12" s="76"/>
      <c r="AV12" s="76"/>
      <c r="AW12" s="76" t="str">
        <f>H12</f>
        <v>Macrophyte</v>
      </c>
      <c r="AX12" s="76" t="str">
        <f>E12</f>
        <v>Berula erecta</v>
      </c>
      <c r="AY12" s="76" t="str">
        <f>F12</f>
        <v>Tracheophyta</v>
      </c>
      <c r="AZ12" s="76" t="str">
        <f>G12</f>
        <v>Magnoliopsida</v>
      </c>
      <c r="BA12" s="76" t="str">
        <f>I12</f>
        <v>Phototroph</v>
      </c>
      <c r="BB12" s="76">
        <f>AI12</f>
        <v>2</v>
      </c>
      <c r="BC12" s="80">
        <f>AS12</f>
        <v>0.78400000000000003</v>
      </c>
      <c r="BD12" s="147" t="s">
        <v>290</v>
      </c>
      <c r="BE12" s="132"/>
      <c r="BF12" s="122" t="s">
        <v>108</v>
      </c>
      <c r="BG12" s="134" t="s">
        <v>133</v>
      </c>
      <c r="BH12" s="122" t="s">
        <v>106</v>
      </c>
      <c r="BI12" s="122" t="s">
        <v>134</v>
      </c>
      <c r="BJ12" s="122" t="s">
        <v>18</v>
      </c>
      <c r="BK12" s="122">
        <v>1</v>
      </c>
      <c r="BL12" s="127">
        <f>BC79</f>
        <v>0.4</v>
      </c>
      <c r="BM12" s="136" t="s">
        <v>244</v>
      </c>
      <c r="BO12" s="144"/>
      <c r="BP12" s="144"/>
      <c r="BQ12" s="80"/>
    </row>
    <row r="13" spans="1:69" s="89" customFormat="1" thickTop="1" thickBot="1" x14ac:dyDescent="0.25">
      <c r="A13" s="71"/>
      <c r="B13" s="71"/>
      <c r="C13" s="72"/>
      <c r="D13" s="72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84"/>
      <c r="U13" s="84"/>
      <c r="V13" s="84"/>
      <c r="W13" s="84"/>
      <c r="X13" s="72"/>
      <c r="Y13" s="72"/>
      <c r="Z13" s="72"/>
      <c r="AA13" s="72"/>
      <c r="AB13" s="72"/>
      <c r="AC13" s="72"/>
      <c r="AD13" s="72"/>
      <c r="AE13" s="72"/>
      <c r="AF13" s="84"/>
      <c r="AG13" s="72"/>
      <c r="AH13" s="84"/>
      <c r="AI13" s="72"/>
      <c r="AJ13" s="84"/>
      <c r="AK13" s="72"/>
      <c r="AL13" s="84"/>
      <c r="AM13" s="84"/>
      <c r="AN13" s="84"/>
      <c r="AO13" s="72"/>
      <c r="AP13" s="84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E13" s="132"/>
      <c r="BF13" s="123" t="s">
        <v>17</v>
      </c>
      <c r="BG13" s="134" t="s">
        <v>163</v>
      </c>
      <c r="BH13" s="123" t="s">
        <v>175</v>
      </c>
      <c r="BI13" s="123" t="s">
        <v>176</v>
      </c>
      <c r="BJ13" s="123" t="s">
        <v>18</v>
      </c>
      <c r="BK13" s="123">
        <v>1</v>
      </c>
      <c r="BL13" s="77">
        <v>92800</v>
      </c>
      <c r="BM13" s="136" t="s">
        <v>265</v>
      </c>
    </row>
    <row r="14" spans="1:69" s="77" customFormat="1" ht="16" thickTop="1" x14ac:dyDescent="0.2">
      <c r="A14" s="86" t="s">
        <v>201</v>
      </c>
      <c r="B14" s="86" t="s">
        <v>205</v>
      </c>
      <c r="C14" s="86"/>
      <c r="D14" s="86" t="s">
        <v>95</v>
      </c>
      <c r="E14" s="118" t="s">
        <v>206</v>
      </c>
      <c r="F14" s="86" t="s">
        <v>106</v>
      </c>
      <c r="G14" s="86" t="s">
        <v>134</v>
      </c>
      <c r="H14" s="86" t="s">
        <v>108</v>
      </c>
      <c r="I14" s="86" t="s">
        <v>18</v>
      </c>
      <c r="J14" s="86" t="s">
        <v>98</v>
      </c>
      <c r="K14" s="86"/>
      <c r="L14" s="86" t="s">
        <v>200</v>
      </c>
      <c r="M14" s="68" t="s">
        <v>178</v>
      </c>
      <c r="N14" s="68" t="s">
        <v>236</v>
      </c>
      <c r="O14" s="86" t="s">
        <v>15</v>
      </c>
      <c r="P14" s="86">
        <v>14</v>
      </c>
      <c r="Q14" s="86" t="s">
        <v>110</v>
      </c>
      <c r="R14" s="86" t="s">
        <v>16</v>
      </c>
      <c r="S14" s="86"/>
      <c r="T14" s="86">
        <v>4.13</v>
      </c>
      <c r="U14" s="86" t="s">
        <v>67</v>
      </c>
      <c r="V14" s="86">
        <f>VLOOKUP(U14,'Conversion tables'!$M$5:$O$8,3,FALSE)</f>
        <v>1</v>
      </c>
      <c r="W14" s="86">
        <f>V14*T14</f>
        <v>4.13</v>
      </c>
      <c r="X14" s="78"/>
      <c r="Y14" s="86" t="str">
        <f>O14</f>
        <v>EC50</v>
      </c>
      <c r="Z14" s="118">
        <f>VLOOKUP(Y14,'Conversion tables'!$C$5:$E$19,2,FALSE)</f>
        <v>5</v>
      </c>
      <c r="AA14" s="86">
        <f>W14/Z14</f>
        <v>0.82599999999999996</v>
      </c>
      <c r="AB14" s="86" t="str">
        <f>R14</f>
        <v>Chronic</v>
      </c>
      <c r="AC14" s="86">
        <f>VLOOKUP(AB14,'Conversion tables'!$C$22:$E$23,2,FALSE)</f>
        <v>1</v>
      </c>
      <c r="AD14" s="86">
        <f>AA14/AC14</f>
        <v>0.82599999999999996</v>
      </c>
      <c r="AE14" s="96"/>
      <c r="AF14" s="81" t="str">
        <f>E14</f>
        <v>Ceratophyllum demersum</v>
      </c>
      <c r="AG14" s="81" t="str">
        <f>O14</f>
        <v>EC50</v>
      </c>
      <c r="AH14" s="81" t="str">
        <f>R14</f>
        <v>Chronic</v>
      </c>
      <c r="AI14" s="81">
        <f>VLOOKUP(SUM(Z14,AC14),'Conversion tables'!$J$5:$K$11,2,FALSE)</f>
        <v>2</v>
      </c>
      <c r="AJ14" s="81" t="str">
        <f>IF(AI14=MIN($AI$14:$AI$15),"YES!!!","Reject")</f>
        <v>YES!!!</v>
      </c>
      <c r="AK14" s="80" t="str">
        <f>N14</f>
        <v>Fresh Weight:Dry Weight</v>
      </c>
      <c r="AL14" s="81" t="s">
        <v>185</v>
      </c>
      <c r="AM14" s="81" t="str">
        <f>CONCATENATE(P14," ",Q14)</f>
        <v>14 Days</v>
      </c>
      <c r="AN14" s="81" t="s">
        <v>187</v>
      </c>
      <c r="AP14" s="81">
        <f>AD14</f>
        <v>0.82599999999999996</v>
      </c>
      <c r="AQ14" s="80">
        <f>GEOMEAN(AP14)</f>
        <v>0.82599999999999996</v>
      </c>
      <c r="AR14" s="118">
        <f>MIN(AQ14)</f>
        <v>0.82599999999999996</v>
      </c>
      <c r="AS14" s="118">
        <f>MIN(AR14:AR15)</f>
        <v>0.04</v>
      </c>
      <c r="AT14" s="147" t="s">
        <v>290</v>
      </c>
      <c r="AU14" s="80"/>
      <c r="AV14" s="80"/>
      <c r="AW14" s="76" t="str">
        <f>H14</f>
        <v>Macrophyte</v>
      </c>
      <c r="AX14" s="76" t="str">
        <f>E14</f>
        <v>Ceratophyllum demersum</v>
      </c>
      <c r="AY14" s="76" t="str">
        <f>F14</f>
        <v>Tracheophyta</v>
      </c>
      <c r="AZ14" s="76" t="str">
        <f>G14</f>
        <v>Magnoliopsida</v>
      </c>
      <c r="BA14" s="76" t="str">
        <f>I14</f>
        <v>Phototroph</v>
      </c>
      <c r="BB14" s="76">
        <f>AI14</f>
        <v>2</v>
      </c>
      <c r="BC14" s="80">
        <f>AS14</f>
        <v>0.04</v>
      </c>
      <c r="BD14" s="147" t="s">
        <v>290</v>
      </c>
      <c r="BE14" s="132"/>
      <c r="BF14" s="122" t="s">
        <v>17</v>
      </c>
      <c r="BG14" s="134" t="s">
        <v>142</v>
      </c>
      <c r="BH14" s="122" t="s">
        <v>96</v>
      </c>
      <c r="BI14" s="122" t="s">
        <v>137</v>
      </c>
      <c r="BJ14" s="122" t="s">
        <v>18</v>
      </c>
      <c r="BK14" s="122">
        <v>1</v>
      </c>
      <c r="BL14" s="77">
        <v>10</v>
      </c>
      <c r="BM14" s="136" t="s">
        <v>265</v>
      </c>
      <c r="BO14" s="80"/>
      <c r="BP14" s="80"/>
      <c r="BQ14" s="80"/>
    </row>
    <row r="15" spans="1:69" s="77" customFormat="1" ht="16" thickBot="1" x14ac:dyDescent="0.25">
      <c r="A15" s="86" t="s">
        <v>201</v>
      </c>
      <c r="B15" s="86" t="s">
        <v>215</v>
      </c>
      <c r="C15" s="86"/>
      <c r="D15" s="86" t="s">
        <v>95</v>
      </c>
      <c r="E15" s="118" t="s">
        <v>206</v>
      </c>
      <c r="F15" s="86" t="s">
        <v>106</v>
      </c>
      <c r="G15" s="86" t="s">
        <v>134</v>
      </c>
      <c r="H15" s="86" t="s">
        <v>108</v>
      </c>
      <c r="I15" s="86" t="s">
        <v>18</v>
      </c>
      <c r="J15" s="86" t="s">
        <v>98</v>
      </c>
      <c r="K15" s="86"/>
      <c r="L15" s="86" t="s">
        <v>208</v>
      </c>
      <c r="M15" s="68" t="s">
        <v>62</v>
      </c>
      <c r="N15" s="68" t="s">
        <v>235</v>
      </c>
      <c r="O15" s="86" t="s">
        <v>15</v>
      </c>
      <c r="P15" s="86">
        <v>14</v>
      </c>
      <c r="Q15" s="86" t="s">
        <v>110</v>
      </c>
      <c r="R15" s="86" t="s">
        <v>16</v>
      </c>
      <c r="S15" s="86"/>
      <c r="T15" s="86">
        <v>0.2</v>
      </c>
      <c r="U15" s="86" t="s">
        <v>67</v>
      </c>
      <c r="V15" s="86">
        <f>VLOOKUP(U15,'Conversion tables'!$M$5:$O$8,3,FALSE)</f>
        <v>1</v>
      </c>
      <c r="W15" s="86">
        <f>V15*T15</f>
        <v>0.2</v>
      </c>
      <c r="X15" s="78"/>
      <c r="Y15" s="86" t="str">
        <f>O15</f>
        <v>EC50</v>
      </c>
      <c r="Z15" s="118">
        <f>VLOOKUP(Y15,'Conversion tables'!$C$5:$E$19,2,FALSE)</f>
        <v>5</v>
      </c>
      <c r="AA15" s="86">
        <f>W15/Z15</f>
        <v>0.04</v>
      </c>
      <c r="AB15" s="86" t="str">
        <f>R15</f>
        <v>Chronic</v>
      </c>
      <c r="AC15" s="86">
        <f>VLOOKUP(AB15,'Conversion tables'!$C$22:$E$23,2,FALSE)</f>
        <v>1</v>
      </c>
      <c r="AD15" s="86">
        <f>AA15/AC15</f>
        <v>0.04</v>
      </c>
      <c r="AE15" s="96"/>
      <c r="AF15" s="81" t="str">
        <f>E15</f>
        <v>Ceratophyllum demersum</v>
      </c>
      <c r="AG15" s="81" t="str">
        <f>O15</f>
        <v>EC50</v>
      </c>
      <c r="AH15" s="81" t="str">
        <f>R15</f>
        <v>Chronic</v>
      </c>
      <c r="AI15" s="81">
        <f>VLOOKUP(SUM(Z15,AC15),'Conversion tables'!$J$5:$K$11,2,FALSE)</f>
        <v>2</v>
      </c>
      <c r="AJ15" s="81" t="str">
        <f>IF(AI15=MIN($AI$14:$AI$15),"YES!!!","Reject")</f>
        <v>YES!!!</v>
      </c>
      <c r="AK15" s="80" t="str">
        <f>N15</f>
        <v>Leaf Area</v>
      </c>
      <c r="AL15" s="81" t="s">
        <v>186</v>
      </c>
      <c r="AM15" s="81" t="str">
        <f>CONCATENATE(P15," ",Q15)</f>
        <v>14 Days</v>
      </c>
      <c r="AN15" s="81" t="s">
        <v>188</v>
      </c>
      <c r="AP15" s="81">
        <f>AD15</f>
        <v>0.04</v>
      </c>
      <c r="AQ15" s="80">
        <f>GEOMEAN(AP15)</f>
        <v>0.04</v>
      </c>
      <c r="AR15" s="118">
        <f>MIN(AQ15)</f>
        <v>0.04</v>
      </c>
      <c r="AS15" s="78"/>
      <c r="AT15" s="80"/>
      <c r="AU15" s="80"/>
      <c r="AV15" s="80"/>
      <c r="AW15" s="80"/>
      <c r="AX15" s="80"/>
      <c r="AY15" s="80"/>
      <c r="AZ15" s="80"/>
      <c r="BA15" s="80"/>
      <c r="BB15" s="80"/>
      <c r="BC15" s="80"/>
      <c r="BD15" s="89"/>
      <c r="BE15" s="132"/>
      <c r="BF15" s="122" t="s">
        <v>108</v>
      </c>
      <c r="BG15" s="134" t="s">
        <v>222</v>
      </c>
      <c r="BH15" s="122" t="s">
        <v>106</v>
      </c>
      <c r="BI15" s="120" t="s">
        <v>134</v>
      </c>
      <c r="BJ15" s="120" t="s">
        <v>18</v>
      </c>
      <c r="BK15" s="120">
        <v>2</v>
      </c>
      <c r="BL15" s="127">
        <v>5.3390000000000004</v>
      </c>
      <c r="BM15" s="127"/>
      <c r="BO15" s="80"/>
      <c r="BP15" s="80"/>
      <c r="BQ15" s="80"/>
    </row>
    <row r="16" spans="1:69" s="77" customFormat="1" thickTop="1" thickBot="1" x14ac:dyDescent="0.25">
      <c r="A16" s="71"/>
      <c r="B16" s="71"/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84"/>
      <c r="U16" s="84"/>
      <c r="V16" s="84"/>
      <c r="W16" s="84"/>
      <c r="X16" s="72"/>
      <c r="Y16" s="72"/>
      <c r="Z16" s="72"/>
      <c r="AA16" s="72"/>
      <c r="AB16" s="72"/>
      <c r="AC16" s="72"/>
      <c r="AD16" s="72"/>
      <c r="AE16" s="72"/>
      <c r="AF16" s="84"/>
      <c r="AG16" s="72"/>
      <c r="AH16" s="84"/>
      <c r="AI16" s="72"/>
      <c r="AJ16" s="84"/>
      <c r="AK16" s="72"/>
      <c r="AL16" s="84"/>
      <c r="AM16" s="84"/>
      <c r="AN16" s="84"/>
      <c r="AO16" s="72"/>
      <c r="AP16" s="84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89"/>
      <c r="BE16" s="132"/>
      <c r="BF16" s="122" t="s">
        <v>108</v>
      </c>
      <c r="BG16" s="134" t="s">
        <v>224</v>
      </c>
      <c r="BH16" s="122" t="s">
        <v>106</v>
      </c>
      <c r="BI16" s="120" t="s">
        <v>134</v>
      </c>
      <c r="BJ16" s="120" t="s">
        <v>18</v>
      </c>
      <c r="BK16" s="120">
        <v>2</v>
      </c>
      <c r="BL16" s="127">
        <v>0.78400000000000003</v>
      </c>
      <c r="BM16" s="126"/>
      <c r="BO16" s="80"/>
      <c r="BP16" s="80"/>
      <c r="BQ16" s="80"/>
    </row>
    <row r="17" spans="1:69" s="89" customFormat="1" thickTop="1" thickBot="1" x14ac:dyDescent="0.25">
      <c r="A17" s="86" t="s">
        <v>201</v>
      </c>
      <c r="B17" s="86" t="s">
        <v>216</v>
      </c>
      <c r="C17" s="86"/>
      <c r="D17" s="86" t="s">
        <v>95</v>
      </c>
      <c r="E17" s="118" t="s">
        <v>217</v>
      </c>
      <c r="F17" s="86" t="s">
        <v>106</v>
      </c>
      <c r="G17" s="86" t="s">
        <v>134</v>
      </c>
      <c r="H17" s="86" t="s">
        <v>108</v>
      </c>
      <c r="I17" s="86" t="s">
        <v>18</v>
      </c>
      <c r="J17" s="86" t="s">
        <v>98</v>
      </c>
      <c r="K17" s="86"/>
      <c r="L17" s="86" t="s">
        <v>208</v>
      </c>
      <c r="M17" s="68" t="s">
        <v>62</v>
      </c>
      <c r="N17" s="68" t="s">
        <v>235</v>
      </c>
      <c r="O17" s="86" t="s">
        <v>15</v>
      </c>
      <c r="P17" s="86">
        <v>14</v>
      </c>
      <c r="Q17" s="86" t="s">
        <v>110</v>
      </c>
      <c r="R17" s="86" t="s">
        <v>16</v>
      </c>
      <c r="S17" s="86"/>
      <c r="T17" s="86">
        <v>2.21</v>
      </c>
      <c r="U17" s="86" t="s">
        <v>67</v>
      </c>
      <c r="V17" s="86">
        <f>VLOOKUP(U17,'Conversion tables'!$M$5:$O$8,3,FALSE)</f>
        <v>1</v>
      </c>
      <c r="W17" s="86">
        <f>V17*T17</f>
        <v>2.21</v>
      </c>
      <c r="X17" s="86"/>
      <c r="Y17" s="86" t="str">
        <f>O17</f>
        <v>EC50</v>
      </c>
      <c r="Z17" s="118">
        <f>VLOOKUP(Y17,'Conversion tables'!$C$5:$E$19,2,FALSE)</f>
        <v>5</v>
      </c>
      <c r="AA17" s="86">
        <f>W17/Z17</f>
        <v>0.442</v>
      </c>
      <c r="AB17" s="86" t="str">
        <f>R17</f>
        <v>Chronic</v>
      </c>
      <c r="AC17" s="86">
        <f>VLOOKUP(AB17,'Conversion tables'!$C$22:$E$23,2,FALSE)</f>
        <v>1</v>
      </c>
      <c r="AD17" s="86">
        <f>AA17/AC17</f>
        <v>0.442</v>
      </c>
      <c r="AE17" s="72"/>
      <c r="AF17" s="81" t="str">
        <f>E17</f>
        <v>Ceratophyllum submersum</v>
      </c>
      <c r="AG17" s="81" t="str">
        <f>O17</f>
        <v>EC50</v>
      </c>
      <c r="AH17" s="81" t="str">
        <f>R17</f>
        <v>Chronic</v>
      </c>
      <c r="AI17" s="81">
        <f>VLOOKUP(SUM(Z17,AC17),'Conversion tables'!$J$5:$K$11,2,FALSE)</f>
        <v>2</v>
      </c>
      <c r="AJ17" s="81" t="str">
        <f>IF(AI17=MIN($AI$17),"YES!!!","Reject")</f>
        <v>YES!!!</v>
      </c>
      <c r="AK17" s="80" t="str">
        <f>N17</f>
        <v>Leaf Area</v>
      </c>
      <c r="AL17" s="81" t="s">
        <v>185</v>
      </c>
      <c r="AM17" s="81" t="str">
        <f>CONCATENATE(P17," ",Q17)</f>
        <v>14 Days</v>
      </c>
      <c r="AN17" s="81" t="s">
        <v>187</v>
      </c>
      <c r="AO17" s="77"/>
      <c r="AP17" s="81">
        <f>AD17</f>
        <v>0.442</v>
      </c>
      <c r="AQ17" s="80">
        <f>GEOMEAN(AP17)</f>
        <v>0.442</v>
      </c>
      <c r="AR17" s="118">
        <f>MIN(AQ17)</f>
        <v>0.442</v>
      </c>
      <c r="AS17" s="118">
        <f>MIN(AR17)</f>
        <v>0.442</v>
      </c>
      <c r="AT17" s="147" t="s">
        <v>290</v>
      </c>
      <c r="AU17" s="76"/>
      <c r="AV17" s="76"/>
      <c r="AW17" s="76" t="str">
        <f>H17</f>
        <v>Macrophyte</v>
      </c>
      <c r="AX17" s="76" t="str">
        <f>E17</f>
        <v>Ceratophyllum submersum</v>
      </c>
      <c r="AY17" s="76" t="str">
        <f>F17</f>
        <v>Tracheophyta</v>
      </c>
      <c r="AZ17" s="76" t="str">
        <f>G17</f>
        <v>Magnoliopsida</v>
      </c>
      <c r="BA17" s="76" t="str">
        <f>I17</f>
        <v>Phototroph</v>
      </c>
      <c r="BB17" s="76">
        <f>AI17</f>
        <v>2</v>
      </c>
      <c r="BC17" s="80">
        <f>AS17</f>
        <v>0.442</v>
      </c>
      <c r="BD17" s="147" t="s">
        <v>290</v>
      </c>
      <c r="BE17" s="132"/>
      <c r="BF17" s="125" t="s">
        <v>108</v>
      </c>
      <c r="BG17" s="134" t="s">
        <v>206</v>
      </c>
      <c r="BH17" s="125" t="s">
        <v>106</v>
      </c>
      <c r="BI17" s="121" t="s">
        <v>134</v>
      </c>
      <c r="BJ17" s="121" t="s">
        <v>18</v>
      </c>
      <c r="BK17" s="121">
        <v>2</v>
      </c>
      <c r="BL17" s="127">
        <v>0.04</v>
      </c>
      <c r="BM17" s="127"/>
      <c r="BN17" s="77"/>
    </row>
    <row r="18" spans="1:69" s="77" customFormat="1" thickTop="1" thickBot="1" x14ac:dyDescent="0.25">
      <c r="A18" s="71"/>
      <c r="B18" s="71"/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8"/>
      <c r="U18" s="58"/>
      <c r="V18" s="58"/>
      <c r="W18" s="58"/>
      <c r="X18" s="50"/>
      <c r="Y18" s="50"/>
      <c r="Z18" s="50"/>
      <c r="AA18" s="50"/>
      <c r="AB18" s="50"/>
      <c r="AC18" s="50"/>
      <c r="AD18" s="50"/>
      <c r="AE18" s="50"/>
      <c r="AF18" s="58"/>
      <c r="AG18" s="50"/>
      <c r="AH18" s="84"/>
      <c r="AI18" s="50"/>
      <c r="AJ18" s="84"/>
      <c r="AK18" s="50"/>
      <c r="AL18" s="84"/>
      <c r="AM18" s="84"/>
      <c r="AN18" s="84"/>
      <c r="AO18" s="50"/>
      <c r="AP18" s="58"/>
      <c r="AQ18" s="50"/>
      <c r="AR18" s="50"/>
      <c r="AS18" s="50"/>
      <c r="AT18" s="50"/>
      <c r="AU18" s="50"/>
      <c r="AV18" s="50"/>
      <c r="AW18" s="72"/>
      <c r="AX18" s="50"/>
      <c r="AY18" s="50"/>
      <c r="AZ18" s="50"/>
      <c r="BA18" s="50"/>
      <c r="BB18" s="50"/>
      <c r="BC18" s="88"/>
      <c r="BD18" s="89"/>
      <c r="BE18" s="132"/>
      <c r="BF18" s="123" t="s">
        <v>108</v>
      </c>
      <c r="BG18" s="134" t="s">
        <v>217</v>
      </c>
      <c r="BH18" s="123" t="s">
        <v>106</v>
      </c>
      <c r="BI18" s="123" t="s">
        <v>134</v>
      </c>
      <c r="BJ18" s="123" t="s">
        <v>18</v>
      </c>
      <c r="BK18" s="123">
        <v>2</v>
      </c>
      <c r="BL18" s="128">
        <v>0.442</v>
      </c>
      <c r="BM18" s="128"/>
      <c r="BO18" s="80"/>
      <c r="BP18" s="80"/>
      <c r="BQ18" s="80"/>
    </row>
    <row r="19" spans="1:69" s="89" customFormat="1" thickTop="1" thickBot="1" x14ac:dyDescent="0.25">
      <c r="A19" s="75">
        <v>618</v>
      </c>
      <c r="B19" s="75" t="s">
        <v>94</v>
      </c>
      <c r="C19" s="75"/>
      <c r="D19" s="75" t="s">
        <v>95</v>
      </c>
      <c r="E19" s="118" t="s">
        <v>102</v>
      </c>
      <c r="F19" s="100" t="s">
        <v>96</v>
      </c>
      <c r="G19" s="100" t="s">
        <v>97</v>
      </c>
      <c r="H19" s="100" t="s">
        <v>17</v>
      </c>
      <c r="I19" s="100" t="s">
        <v>18</v>
      </c>
      <c r="J19" s="75" t="s">
        <v>98</v>
      </c>
      <c r="K19" s="75"/>
      <c r="L19" s="75" t="s">
        <v>99</v>
      </c>
      <c r="M19" s="68" t="s">
        <v>177</v>
      </c>
      <c r="N19" s="68" t="s">
        <v>184</v>
      </c>
      <c r="O19" s="75" t="s">
        <v>15</v>
      </c>
      <c r="P19" s="75">
        <v>96</v>
      </c>
      <c r="Q19" s="75" t="s">
        <v>100</v>
      </c>
      <c r="R19" s="75" t="s">
        <v>16</v>
      </c>
      <c r="S19" s="75"/>
      <c r="T19" s="75">
        <v>14.22</v>
      </c>
      <c r="U19" s="75" t="s">
        <v>66</v>
      </c>
      <c r="V19" s="75">
        <f>VLOOKUP(U19,'Conversion tables'!$M$5:$O$8,3,FALSE)</f>
        <v>1000</v>
      </c>
      <c r="W19" s="75">
        <f>V19*T19</f>
        <v>14220</v>
      </c>
      <c r="X19"/>
      <c r="Y19" s="75" t="str">
        <f>O19</f>
        <v>EC50</v>
      </c>
      <c r="Z19" s="118">
        <f>VLOOKUP(Y19,'Conversion tables'!$C$5:$E$19,2,FALSE)</f>
        <v>5</v>
      </c>
      <c r="AA19" s="86">
        <f>W19/Z19</f>
        <v>2844</v>
      </c>
      <c r="AB19" s="86" t="str">
        <f>R19</f>
        <v>Chronic</v>
      </c>
      <c r="AC19" s="86">
        <f>VLOOKUP(AB19,'Conversion tables'!$C$22:$E$23,2,FALSE)</f>
        <v>1</v>
      </c>
      <c r="AD19" s="86">
        <f>AA19/AC19</f>
        <v>2844</v>
      </c>
      <c r="AE19" s="50"/>
      <c r="AF19" s="81" t="str">
        <f>E19</f>
        <v>Chlorella pyrenoidosa</v>
      </c>
      <c r="AG19" s="81" t="str">
        <f>O19</f>
        <v>EC50</v>
      </c>
      <c r="AH19" s="81" t="str">
        <f>R19</f>
        <v>Chronic</v>
      </c>
      <c r="AI19" s="81">
        <f>VLOOKUP(SUM(Z19,AC19),'Conversion tables'!$J$5:$K$11,2,FALSE)</f>
        <v>2</v>
      </c>
      <c r="AJ19" s="81" t="str">
        <f>IF(AI19=MIN($AI$19:$AI$20),"YES!!!","Reject")</f>
        <v>YES!!!</v>
      </c>
      <c r="AK19" s="80" t="str">
        <f>N19</f>
        <v>Cell Density</v>
      </c>
      <c r="AL19" s="81" t="s">
        <v>185</v>
      </c>
      <c r="AM19" s="81" t="str">
        <f>CONCATENATE(P19," ",Q19)</f>
        <v>96 Hours</v>
      </c>
      <c r="AN19" s="81" t="s">
        <v>187</v>
      </c>
      <c r="AO19" s="2"/>
      <c r="AP19" s="81">
        <f>AD19</f>
        <v>2844</v>
      </c>
      <c r="AQ19" s="80">
        <f>GEOMEAN(AP19:AP20)</f>
        <v>2842.599655245177</v>
      </c>
      <c r="AR19" s="118">
        <f>MIN(AQ19:AQ20)</f>
        <v>2842.599655245177</v>
      </c>
      <c r="AS19" s="118">
        <f>MIN(AR19)</f>
        <v>2842.599655245177</v>
      </c>
      <c r="AT19" s="147" t="s">
        <v>290</v>
      </c>
      <c r="AU19"/>
      <c r="AV19"/>
      <c r="AW19" s="76" t="str">
        <f>H19</f>
        <v>Microalgae</v>
      </c>
      <c r="AX19" s="76" t="str">
        <f>E19</f>
        <v>Chlorella pyrenoidosa</v>
      </c>
      <c r="AY19" s="76" t="str">
        <f>F19</f>
        <v>Chlorophyta</v>
      </c>
      <c r="AZ19" s="76" t="str">
        <f>G19</f>
        <v>Trebouxiophyceae</v>
      </c>
      <c r="BA19" s="76" t="str">
        <f>I19</f>
        <v>Phototroph</v>
      </c>
      <c r="BB19" s="76">
        <f>AI19</f>
        <v>2</v>
      </c>
      <c r="BC19" s="77">
        <f>AS19</f>
        <v>2842.599655245177</v>
      </c>
      <c r="BD19" s="147" t="s">
        <v>290</v>
      </c>
      <c r="BE19" s="132"/>
      <c r="BF19" s="122" t="s">
        <v>17</v>
      </c>
      <c r="BG19" s="134" t="s">
        <v>102</v>
      </c>
      <c r="BH19" s="122" t="s">
        <v>96</v>
      </c>
      <c r="BI19" s="120" t="s">
        <v>97</v>
      </c>
      <c r="BJ19" s="120" t="s">
        <v>18</v>
      </c>
      <c r="BK19" s="120">
        <v>2</v>
      </c>
      <c r="BL19" s="129">
        <v>2842.599655245177</v>
      </c>
      <c r="BM19" s="129"/>
      <c r="BN19" s="77"/>
    </row>
    <row r="20" spans="1:69" s="77" customFormat="1" thickTop="1" thickBot="1" x14ac:dyDescent="0.25">
      <c r="A20" s="75">
        <v>834</v>
      </c>
      <c r="B20" s="75" t="s">
        <v>101</v>
      </c>
      <c r="C20" s="75"/>
      <c r="D20" s="75" t="s">
        <v>95</v>
      </c>
      <c r="E20" s="118" t="s">
        <v>102</v>
      </c>
      <c r="F20" s="101" t="s">
        <v>96</v>
      </c>
      <c r="G20" s="101" t="s">
        <v>97</v>
      </c>
      <c r="H20" s="101" t="s">
        <v>17</v>
      </c>
      <c r="I20" s="101" t="s">
        <v>18</v>
      </c>
      <c r="J20" s="75" t="s">
        <v>98</v>
      </c>
      <c r="K20" s="75"/>
      <c r="L20" s="75" t="s">
        <v>103</v>
      </c>
      <c r="M20" s="68" t="s">
        <v>177</v>
      </c>
      <c r="N20" s="68" t="s">
        <v>184</v>
      </c>
      <c r="O20" s="75" t="s">
        <v>15</v>
      </c>
      <c r="P20" s="75">
        <v>96</v>
      </c>
      <c r="Q20" s="75" t="s">
        <v>100</v>
      </c>
      <c r="R20" s="75" t="s">
        <v>16</v>
      </c>
      <c r="S20" s="75"/>
      <c r="T20" s="75">
        <v>14206</v>
      </c>
      <c r="U20" s="75" t="s">
        <v>67</v>
      </c>
      <c r="V20" s="75">
        <f>VLOOKUP(U20,'Conversion tables'!$M$5:$O$8,3,FALSE)</f>
        <v>1</v>
      </c>
      <c r="W20" s="75">
        <f>V20*T20</f>
        <v>14206</v>
      </c>
      <c r="X20"/>
      <c r="Y20" s="75" t="str">
        <f>O20</f>
        <v>EC50</v>
      </c>
      <c r="Z20" s="118">
        <f>VLOOKUP(Y20,'Conversion tables'!$C$5:$E$19,2,FALSE)</f>
        <v>5</v>
      </c>
      <c r="AA20" s="86">
        <f>W20/Z20</f>
        <v>2841.2</v>
      </c>
      <c r="AB20" s="86" t="str">
        <f>R20</f>
        <v>Chronic</v>
      </c>
      <c r="AC20" s="86">
        <f>VLOOKUP(AB20,'Conversion tables'!$C$22:$E$23,2,FALSE)</f>
        <v>1</v>
      </c>
      <c r="AD20" s="86">
        <f>AA20/AC20</f>
        <v>2841.2</v>
      </c>
      <c r="AE20" s="50"/>
      <c r="AF20" s="81" t="str">
        <f>E20</f>
        <v>Chlorella pyrenoidosa</v>
      </c>
      <c r="AG20" s="81" t="str">
        <f>O20</f>
        <v>EC50</v>
      </c>
      <c r="AH20" s="81" t="str">
        <f>R20</f>
        <v>Chronic</v>
      </c>
      <c r="AI20" s="81">
        <f>VLOOKUP(SUM(Z20,AC20),'Conversion tables'!$J$5:$K$11,2,FALSE)</f>
        <v>2</v>
      </c>
      <c r="AJ20" s="81" t="str">
        <f>IF(AI20=MIN($AI$19:$AI$20),"YES!!!","Reject")</f>
        <v>YES!!!</v>
      </c>
      <c r="AK20" s="80" t="str">
        <f>N20</f>
        <v>Cell Density</v>
      </c>
      <c r="AL20" s="81" t="s">
        <v>185</v>
      </c>
      <c r="AM20" s="81" t="str">
        <f>CONCATENATE(P20," ",Q20)</f>
        <v>96 Hours</v>
      </c>
      <c r="AN20" s="81" t="s">
        <v>187</v>
      </c>
      <c r="AO20" s="2"/>
      <c r="AP20" s="81">
        <f>AD20</f>
        <v>2841.2</v>
      </c>
      <c r="AQ20" s="80"/>
      <c r="AR20" s="86"/>
      <c r="AS20" s="6"/>
      <c r="AT20" s="6"/>
      <c r="AU20"/>
      <c r="AV20"/>
      <c r="AW20" s="76"/>
      <c r="AX20"/>
      <c r="AY20"/>
      <c r="AZ20"/>
      <c r="BA20"/>
      <c r="BB20"/>
      <c r="BC20" s="6"/>
      <c r="BD20" s="89"/>
      <c r="BE20" s="132"/>
      <c r="BF20" s="122" t="s">
        <v>108</v>
      </c>
      <c r="BG20" s="134" t="s">
        <v>204</v>
      </c>
      <c r="BH20" s="122" t="s">
        <v>106</v>
      </c>
      <c r="BI20" s="120" t="s">
        <v>107</v>
      </c>
      <c r="BJ20" s="120" t="s">
        <v>18</v>
      </c>
      <c r="BK20" s="120">
        <v>2</v>
      </c>
      <c r="BL20" s="127">
        <v>0.124</v>
      </c>
      <c r="BM20" s="126"/>
    </row>
    <row r="21" spans="1:69" s="77" customFormat="1" thickTop="1" thickBot="1" x14ac:dyDescent="0.25">
      <c r="A21" s="71"/>
      <c r="B21" s="71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8"/>
      <c r="U21" s="58"/>
      <c r="V21" s="58"/>
      <c r="W21" s="58"/>
      <c r="X21" s="50"/>
      <c r="Y21" s="50"/>
      <c r="Z21" s="50"/>
      <c r="AA21" s="50"/>
      <c r="AB21" s="50"/>
      <c r="AC21" s="50"/>
      <c r="AD21" s="50"/>
      <c r="AE21" s="50"/>
      <c r="AF21" s="58"/>
      <c r="AG21" s="50"/>
      <c r="AH21" s="50"/>
      <c r="AI21" s="50"/>
      <c r="AJ21" s="84"/>
      <c r="AK21" s="50"/>
      <c r="AL21" s="84"/>
      <c r="AM21" s="84"/>
      <c r="AN21" s="84"/>
      <c r="AO21" s="50"/>
      <c r="AP21" s="58"/>
      <c r="AQ21" s="50"/>
      <c r="AR21" s="50"/>
      <c r="AS21" s="50"/>
      <c r="AT21" s="50"/>
      <c r="AU21" s="50"/>
      <c r="AV21" s="50"/>
      <c r="AW21" s="72"/>
      <c r="AX21" s="50"/>
      <c r="AY21" s="50"/>
      <c r="AZ21" s="50"/>
      <c r="BA21" s="50"/>
      <c r="BB21" s="50"/>
      <c r="BC21" s="88"/>
      <c r="BD21" s="89"/>
      <c r="BE21" s="132"/>
      <c r="BF21" s="76" t="s">
        <v>108</v>
      </c>
      <c r="BG21" s="134" t="s">
        <v>251</v>
      </c>
      <c r="BH21" s="76" t="s">
        <v>106</v>
      </c>
      <c r="BI21" s="76" t="s">
        <v>134</v>
      </c>
      <c r="BJ21" s="76" t="s">
        <v>18</v>
      </c>
      <c r="BK21" s="76">
        <v>2</v>
      </c>
      <c r="BL21" s="77">
        <v>0.36712940497868052</v>
      </c>
      <c r="BM21" s="127"/>
    </row>
    <row r="22" spans="1:69" s="77" customFormat="1" thickTop="1" thickBot="1" x14ac:dyDescent="0.25">
      <c r="A22" s="75">
        <v>889</v>
      </c>
      <c r="B22" s="75" t="s">
        <v>104</v>
      </c>
      <c r="C22" s="75"/>
      <c r="D22" s="75" t="s">
        <v>95</v>
      </c>
      <c r="E22" s="118" t="s">
        <v>105</v>
      </c>
      <c r="F22" s="102" t="s">
        <v>106</v>
      </c>
      <c r="G22" s="118" t="s">
        <v>107</v>
      </c>
      <c r="H22" s="102" t="s">
        <v>108</v>
      </c>
      <c r="I22" s="102" t="s">
        <v>18</v>
      </c>
      <c r="J22" s="43" t="s">
        <v>261</v>
      </c>
      <c r="K22" s="75"/>
      <c r="L22" s="75" t="s">
        <v>109</v>
      </c>
      <c r="M22" s="68" t="s">
        <v>178</v>
      </c>
      <c r="N22" s="68" t="s">
        <v>179</v>
      </c>
      <c r="O22" s="75" t="s">
        <v>21</v>
      </c>
      <c r="P22" s="75">
        <v>8</v>
      </c>
      <c r="Q22" s="75" t="s">
        <v>110</v>
      </c>
      <c r="R22" s="75" t="s">
        <v>16</v>
      </c>
      <c r="S22" s="75"/>
      <c r="T22" s="75">
        <v>20</v>
      </c>
      <c r="U22" s="75" t="s">
        <v>67</v>
      </c>
      <c r="V22" s="75">
        <f>VLOOKUP(U22,'Conversion tables'!$M$5:$O$8,3,FALSE)</f>
        <v>1</v>
      </c>
      <c r="W22" s="86">
        <f t="shared" ref="W22:W30" si="0">V22*T22</f>
        <v>20</v>
      </c>
      <c r="X22"/>
      <c r="Y22" s="75" t="str">
        <f t="shared" ref="Y22:Y30" si="1">O22</f>
        <v>NOEC</v>
      </c>
      <c r="Z22" s="118">
        <f>VLOOKUP(Y22,'Conversion tables'!$C$5:$E$19,2,FALSE)</f>
        <v>1</v>
      </c>
      <c r="AA22" s="86">
        <f t="shared" ref="AA22:AA30" si="2">W22/Z22</f>
        <v>20</v>
      </c>
      <c r="AB22" s="86" t="str">
        <f t="shared" ref="AB22:AB30" si="3">R22</f>
        <v>Chronic</v>
      </c>
      <c r="AC22" s="86">
        <f>VLOOKUP(AB22,'Conversion tables'!$C$22:$E$23,2,FALSE)</f>
        <v>1</v>
      </c>
      <c r="AD22" s="86">
        <f t="shared" ref="AD22:AD30" si="4">AA22/AC22</f>
        <v>20</v>
      </c>
      <c r="AE22" s="50"/>
      <c r="AF22" s="81" t="str">
        <f t="shared" ref="AF22:AF29" si="5">E22</f>
        <v>Elodea canadensis</v>
      </c>
      <c r="AG22" s="81" t="str">
        <f t="shared" ref="AG22:AG30" si="6">O22</f>
        <v>NOEC</v>
      </c>
      <c r="AH22" s="81" t="str">
        <f t="shared" ref="AH22:AH30" si="7">R22</f>
        <v>Chronic</v>
      </c>
      <c r="AI22" s="81">
        <f>VLOOKUP(SUM(Z22,AC22),'Conversion tables'!$J$5:$K$11,2,FALSE)</f>
        <v>1</v>
      </c>
      <c r="AJ22" s="81" t="str">
        <f t="shared" ref="AJ22:AJ30" si="8">IF(AI22=MIN($AI$22:$AI$29),"YES!!!","Reject")</f>
        <v>YES!!!</v>
      </c>
      <c r="AK22" s="80" t="str">
        <f>N22</f>
        <v>Dry Weight</v>
      </c>
      <c r="AL22" s="78" t="s">
        <v>185</v>
      </c>
      <c r="AM22" s="81" t="str">
        <f>CONCATENATE(P22," ",Q22)</f>
        <v>8 Days</v>
      </c>
      <c r="AN22" s="78" t="s">
        <v>187</v>
      </c>
      <c r="AO22" s="2"/>
      <c r="AP22" s="81">
        <f>AD22</f>
        <v>20</v>
      </c>
      <c r="AQ22" s="80">
        <f>GEOMEAN(AP22:AP23)</f>
        <v>14.142135623730951</v>
      </c>
      <c r="AR22" s="118">
        <f>MIN(AQ22:AQ23)</f>
        <v>14.142135623730951</v>
      </c>
      <c r="AS22" s="118">
        <f>MIN(AR22:AR30)</f>
        <v>5.3999999999999999E-2</v>
      </c>
      <c r="AT22" s="147" t="s">
        <v>290</v>
      </c>
      <c r="AU22"/>
      <c r="AV22"/>
      <c r="AW22" s="76" t="str">
        <f>H22</f>
        <v>Macrophyte</v>
      </c>
      <c r="AX22" s="76" t="str">
        <f>E22</f>
        <v>Elodea canadensis</v>
      </c>
      <c r="AY22" s="76" t="str">
        <f>F22</f>
        <v>Tracheophyta</v>
      </c>
      <c r="AZ22" s="76" t="str">
        <f>G22</f>
        <v>Liliopsida</v>
      </c>
      <c r="BA22" s="76" t="str">
        <f>I22</f>
        <v>Phototroph</v>
      </c>
      <c r="BB22" s="76">
        <f>AI22</f>
        <v>1</v>
      </c>
      <c r="BC22" s="80">
        <f>AS22</f>
        <v>5.3999999999999999E-2</v>
      </c>
      <c r="BD22" s="147" t="s">
        <v>290</v>
      </c>
      <c r="BE22" s="132"/>
      <c r="BF22" s="122" t="s">
        <v>108</v>
      </c>
      <c r="BG22" s="134" t="s">
        <v>220</v>
      </c>
      <c r="BH22" s="122" t="s">
        <v>106</v>
      </c>
      <c r="BI22" s="122" t="s">
        <v>107</v>
      </c>
      <c r="BJ22" s="122" t="s">
        <v>18</v>
      </c>
      <c r="BK22" s="122">
        <v>2</v>
      </c>
      <c r="BL22" s="127">
        <v>4.5999999999999999E-2</v>
      </c>
      <c r="BM22" s="127"/>
    </row>
    <row r="23" spans="1:69" s="89" customFormat="1" thickTop="1" thickBot="1" x14ac:dyDescent="0.25">
      <c r="A23" s="75">
        <v>889</v>
      </c>
      <c r="B23" s="75" t="s">
        <v>114</v>
      </c>
      <c r="C23" s="75"/>
      <c r="D23" s="75" t="s">
        <v>95</v>
      </c>
      <c r="E23" s="118" t="s">
        <v>105</v>
      </c>
      <c r="F23" s="103" t="s">
        <v>106</v>
      </c>
      <c r="G23" s="118" t="s">
        <v>107</v>
      </c>
      <c r="H23" s="103" t="s">
        <v>108</v>
      </c>
      <c r="I23" s="103" t="s">
        <v>18</v>
      </c>
      <c r="J23" s="43" t="s">
        <v>262</v>
      </c>
      <c r="K23" s="75"/>
      <c r="L23" s="75" t="s">
        <v>109</v>
      </c>
      <c r="M23" s="68" t="s">
        <v>178</v>
      </c>
      <c r="N23" s="68" t="s">
        <v>179</v>
      </c>
      <c r="O23" s="75" t="s">
        <v>21</v>
      </c>
      <c r="P23" s="75">
        <v>8</v>
      </c>
      <c r="Q23" s="75" t="s">
        <v>110</v>
      </c>
      <c r="R23" s="75" t="s">
        <v>16</v>
      </c>
      <c r="S23" s="75"/>
      <c r="T23" s="86">
        <v>10</v>
      </c>
      <c r="U23" s="75" t="s">
        <v>67</v>
      </c>
      <c r="V23" s="75">
        <f>VLOOKUP(U23,'Conversion tables'!$M$5:$O$8,3,FALSE)</f>
        <v>1</v>
      </c>
      <c r="W23" s="86">
        <f t="shared" si="0"/>
        <v>10</v>
      </c>
      <c r="X23"/>
      <c r="Y23" s="75" t="str">
        <f t="shared" si="1"/>
        <v>NOEC</v>
      </c>
      <c r="Z23" s="118">
        <f>VLOOKUP(Y23,'Conversion tables'!$C$5:$E$19,2,FALSE)</f>
        <v>1</v>
      </c>
      <c r="AA23" s="86">
        <f t="shared" si="2"/>
        <v>10</v>
      </c>
      <c r="AB23" s="86" t="str">
        <f t="shared" si="3"/>
        <v>Chronic</v>
      </c>
      <c r="AC23" s="86">
        <f>VLOOKUP(AB23,'Conversion tables'!$C$22:$E$23,2,FALSE)</f>
        <v>1</v>
      </c>
      <c r="AD23" s="86">
        <f t="shared" si="4"/>
        <v>10</v>
      </c>
      <c r="AE23" s="50"/>
      <c r="AF23" s="81" t="str">
        <f t="shared" si="5"/>
        <v>Elodea canadensis</v>
      </c>
      <c r="AG23" s="81" t="str">
        <f t="shared" si="6"/>
        <v>NOEC</v>
      </c>
      <c r="AH23" s="81" t="str">
        <f t="shared" si="7"/>
        <v>Chronic</v>
      </c>
      <c r="AI23" s="81">
        <f>VLOOKUP(SUM(Z23,AC23),'Conversion tables'!$J$5:$K$11,2,FALSE)</f>
        <v>1</v>
      </c>
      <c r="AJ23" s="81" t="str">
        <f t="shared" si="8"/>
        <v>YES!!!</v>
      </c>
      <c r="AK23" s="80" t="str">
        <f>N23</f>
        <v>Dry Weight</v>
      </c>
      <c r="AL23" s="78" t="s">
        <v>185</v>
      </c>
      <c r="AM23" s="81" t="str">
        <f>CONCATENATE(P23," ",Q23)</f>
        <v>8 Days</v>
      </c>
      <c r="AN23" s="78" t="s">
        <v>187</v>
      </c>
      <c r="AO23" s="2"/>
      <c r="AP23" s="81">
        <f>AD23</f>
        <v>10</v>
      </c>
      <c r="AQ23" s="80"/>
      <c r="AR23" s="86"/>
      <c r="AS23" s="6"/>
      <c r="AT23" s="6"/>
      <c r="AU23"/>
      <c r="AV23"/>
      <c r="AW23" s="76"/>
      <c r="AX23"/>
      <c r="AY23"/>
      <c r="AZ23"/>
      <c r="BA23"/>
      <c r="BB23"/>
      <c r="BC23"/>
      <c r="BE23" s="132"/>
      <c r="BF23" s="122" t="s">
        <v>17</v>
      </c>
      <c r="BG23" s="134" t="s">
        <v>147</v>
      </c>
      <c r="BH23" s="122" t="s">
        <v>96</v>
      </c>
      <c r="BI23" s="122" t="s">
        <v>137</v>
      </c>
      <c r="BJ23" s="122" t="s">
        <v>18</v>
      </c>
      <c r="BK23" s="122">
        <v>2</v>
      </c>
      <c r="BL23" s="129">
        <v>14556.4</v>
      </c>
      <c r="BM23" s="129"/>
      <c r="BN23" s="77"/>
    </row>
    <row r="24" spans="1:69" s="77" customFormat="1" thickTop="1" thickBot="1" x14ac:dyDescent="0.25">
      <c r="A24" s="75">
        <v>889</v>
      </c>
      <c r="B24" s="75" t="s">
        <v>111</v>
      </c>
      <c r="C24" s="75"/>
      <c r="D24" s="75" t="s">
        <v>95</v>
      </c>
      <c r="E24" s="118" t="s">
        <v>105</v>
      </c>
      <c r="F24" s="75" t="s">
        <v>106</v>
      </c>
      <c r="G24" s="118" t="s">
        <v>107</v>
      </c>
      <c r="H24" s="75" t="s">
        <v>108</v>
      </c>
      <c r="I24" s="75" t="s">
        <v>18</v>
      </c>
      <c r="J24" s="43" t="s">
        <v>262</v>
      </c>
      <c r="K24" s="75"/>
      <c r="L24" s="75" t="s">
        <v>112</v>
      </c>
      <c r="M24" s="68" t="s">
        <v>62</v>
      </c>
      <c r="N24" s="68" t="s">
        <v>180</v>
      </c>
      <c r="O24" s="75" t="s">
        <v>21</v>
      </c>
      <c r="P24" s="75">
        <v>8</v>
      </c>
      <c r="Q24" s="75" t="s">
        <v>110</v>
      </c>
      <c r="R24" s="75" t="s">
        <v>16</v>
      </c>
      <c r="S24" s="75"/>
      <c r="T24" s="75">
        <v>5.3999999999999999E-2</v>
      </c>
      <c r="U24" s="75" t="s">
        <v>67</v>
      </c>
      <c r="V24" s="75">
        <f>VLOOKUP(U24,'Conversion tables'!$M$5:$O$8,3,FALSE)</f>
        <v>1</v>
      </c>
      <c r="W24" s="86">
        <f t="shared" si="0"/>
        <v>5.3999999999999999E-2</v>
      </c>
      <c r="X24"/>
      <c r="Y24" s="75" t="str">
        <f t="shared" si="1"/>
        <v>NOEC</v>
      </c>
      <c r="Z24" s="118">
        <f>VLOOKUP(Y24,'Conversion tables'!$C$5:$E$19,2,FALSE)</f>
        <v>1</v>
      </c>
      <c r="AA24" s="86">
        <f t="shared" si="2"/>
        <v>5.3999999999999999E-2</v>
      </c>
      <c r="AB24" s="86" t="str">
        <f t="shared" si="3"/>
        <v>Chronic</v>
      </c>
      <c r="AC24" s="86">
        <f>VLOOKUP(AB24,'Conversion tables'!$C$22:$E$23,2,FALSE)</f>
        <v>1</v>
      </c>
      <c r="AD24" s="86">
        <f t="shared" si="4"/>
        <v>5.3999999999999999E-2</v>
      </c>
      <c r="AE24" s="50"/>
      <c r="AF24" s="81" t="str">
        <f t="shared" si="5"/>
        <v>Elodea canadensis</v>
      </c>
      <c r="AG24" s="81" t="str">
        <f t="shared" si="6"/>
        <v>NOEC</v>
      </c>
      <c r="AH24" s="81" t="str">
        <f t="shared" si="7"/>
        <v>Chronic</v>
      </c>
      <c r="AI24" s="81">
        <f>VLOOKUP(SUM(Z24,AC24),'Conversion tables'!$J$5:$K$11,2,FALSE)</f>
        <v>1</v>
      </c>
      <c r="AJ24" s="81" t="str">
        <f t="shared" si="8"/>
        <v>YES!!!</v>
      </c>
      <c r="AK24" s="80" t="str">
        <f>N24</f>
        <v>Shoot Length</v>
      </c>
      <c r="AL24" s="78" t="s">
        <v>186</v>
      </c>
      <c r="AM24" s="81" t="str">
        <f>CONCATENATE(P24," ",Q24)</f>
        <v>8 Days</v>
      </c>
      <c r="AN24" s="78" t="s">
        <v>188</v>
      </c>
      <c r="AO24" s="2"/>
      <c r="AP24" s="81">
        <f>AD24</f>
        <v>5.3999999999999999E-2</v>
      </c>
      <c r="AQ24" s="80">
        <f>GEOMEAN(AP24)</f>
        <v>5.3999999999999999E-2</v>
      </c>
      <c r="AR24" s="118">
        <f>MIN(AQ24)</f>
        <v>5.3999999999999999E-2</v>
      </c>
      <c r="AS24" s="6"/>
      <c r="AT24" s="6"/>
      <c r="AU24"/>
      <c r="AV24"/>
      <c r="AW24" s="76"/>
      <c r="AX24"/>
      <c r="AY24"/>
      <c r="AZ24"/>
      <c r="BA24"/>
      <c r="BB24"/>
      <c r="BC24"/>
      <c r="BD24" s="89"/>
      <c r="BE24" s="132"/>
      <c r="BF24" s="122" t="s">
        <v>17</v>
      </c>
      <c r="BG24" s="134" t="s">
        <v>226</v>
      </c>
      <c r="BH24" s="122" t="s">
        <v>96</v>
      </c>
      <c r="BI24" s="120" t="s">
        <v>137</v>
      </c>
      <c r="BJ24" s="120" t="s">
        <v>18</v>
      </c>
      <c r="BK24" s="120">
        <v>2</v>
      </c>
      <c r="BL24" s="130">
        <v>1120</v>
      </c>
      <c r="BM24" s="131"/>
    </row>
    <row r="25" spans="1:69" s="89" customFormat="1" thickTop="1" thickBot="1" x14ac:dyDescent="0.25">
      <c r="A25" s="75">
        <v>889</v>
      </c>
      <c r="B25" s="118" t="s">
        <v>113</v>
      </c>
      <c r="C25" s="75"/>
      <c r="D25" s="75" t="s">
        <v>95</v>
      </c>
      <c r="E25" s="118" t="s">
        <v>105</v>
      </c>
      <c r="F25" s="75" t="s">
        <v>106</v>
      </c>
      <c r="G25" s="118" t="s">
        <v>107</v>
      </c>
      <c r="H25" s="75" t="s">
        <v>108</v>
      </c>
      <c r="I25" s="75" t="s">
        <v>18</v>
      </c>
      <c r="J25" s="43" t="s">
        <v>262</v>
      </c>
      <c r="K25" s="75"/>
      <c r="L25" s="75" t="s">
        <v>112</v>
      </c>
      <c r="M25" s="68" t="s">
        <v>62</v>
      </c>
      <c r="N25" s="68" t="s">
        <v>180</v>
      </c>
      <c r="O25" s="75" t="s">
        <v>22</v>
      </c>
      <c r="P25" s="75">
        <v>8</v>
      </c>
      <c r="Q25" s="75" t="s">
        <v>110</v>
      </c>
      <c r="R25" s="75" t="s">
        <v>16</v>
      </c>
      <c r="S25" s="75"/>
      <c r="T25" s="75">
        <v>0.1</v>
      </c>
      <c r="U25" s="75" t="s">
        <v>67</v>
      </c>
      <c r="V25" s="75">
        <f>VLOOKUP(U25,'Conversion tables'!$M$5:$O$8,3,FALSE)</f>
        <v>1</v>
      </c>
      <c r="W25" s="86">
        <f t="shared" si="0"/>
        <v>0.1</v>
      </c>
      <c r="X25"/>
      <c r="Y25" s="75" t="str">
        <f t="shared" si="1"/>
        <v>LOEC</v>
      </c>
      <c r="Z25" s="118">
        <f>VLOOKUP(Y25,'Conversion tables'!$C$5:$E$19,2,FALSE)</f>
        <v>2.5</v>
      </c>
      <c r="AA25" s="86">
        <f t="shared" si="2"/>
        <v>0.04</v>
      </c>
      <c r="AB25" s="86" t="str">
        <f t="shared" si="3"/>
        <v>Chronic</v>
      </c>
      <c r="AC25" s="86">
        <f>VLOOKUP(AB25,'Conversion tables'!$C$22:$E$23,2,FALSE)</f>
        <v>1</v>
      </c>
      <c r="AD25" s="86">
        <f t="shared" si="4"/>
        <v>0.04</v>
      </c>
      <c r="AE25" s="50"/>
      <c r="AF25" s="81" t="str">
        <f t="shared" si="5"/>
        <v>Elodea canadensis</v>
      </c>
      <c r="AG25" s="81" t="str">
        <f t="shared" si="6"/>
        <v>LOEC</v>
      </c>
      <c r="AH25" s="81" t="str">
        <f t="shared" si="7"/>
        <v>Chronic</v>
      </c>
      <c r="AI25" s="81">
        <f>VLOOKUP(SUM(Z25,AC25),'Conversion tables'!$J$5:$K$11,2,FALSE)</f>
        <v>2</v>
      </c>
      <c r="AJ25" s="81" t="str">
        <f t="shared" si="8"/>
        <v>Reject</v>
      </c>
      <c r="AK25" s="6"/>
      <c r="AL25" s="81"/>
      <c r="AM25" s="81"/>
      <c r="AN25" s="81"/>
      <c r="AO25" s="2"/>
      <c r="AP25" s="8"/>
      <c r="AQ25" s="6"/>
      <c r="AR25" s="6"/>
      <c r="AS25" s="6"/>
      <c r="AT25" s="6"/>
      <c r="AU25"/>
      <c r="AV25"/>
      <c r="AW25" s="76"/>
      <c r="AX25"/>
      <c r="AY25"/>
      <c r="AZ25"/>
      <c r="BA25"/>
      <c r="BB25"/>
      <c r="BC25"/>
      <c r="BE25" s="132"/>
      <c r="BF25" s="125" t="s">
        <v>108</v>
      </c>
      <c r="BG25" s="134" t="s">
        <v>234</v>
      </c>
      <c r="BH25" s="125" t="s">
        <v>106</v>
      </c>
      <c r="BI25" s="121" t="s">
        <v>107</v>
      </c>
      <c r="BJ25" s="121" t="s">
        <v>18</v>
      </c>
      <c r="BK25" s="121">
        <v>2</v>
      </c>
      <c r="BL25" s="127">
        <v>4.9315312023751813E-2</v>
      </c>
      <c r="BM25" s="127"/>
      <c r="BN25" s="77"/>
    </row>
    <row r="26" spans="1:69" s="89" customFormat="1" thickTop="1" thickBot="1" x14ac:dyDescent="0.25">
      <c r="A26" s="118">
        <v>889</v>
      </c>
      <c r="B26" s="118" t="s">
        <v>264</v>
      </c>
      <c r="C26" s="118"/>
      <c r="D26" s="118" t="s">
        <v>95</v>
      </c>
      <c r="E26" s="118" t="s">
        <v>105</v>
      </c>
      <c r="F26" s="118" t="s">
        <v>106</v>
      </c>
      <c r="G26" s="118" t="s">
        <v>107</v>
      </c>
      <c r="H26" s="118" t="s">
        <v>108</v>
      </c>
      <c r="I26" s="118" t="s">
        <v>18</v>
      </c>
      <c r="J26" s="43" t="s">
        <v>262</v>
      </c>
      <c r="K26" s="118"/>
      <c r="L26" s="118" t="s">
        <v>112</v>
      </c>
      <c r="M26" s="68" t="s">
        <v>62</v>
      </c>
      <c r="N26" s="68" t="s">
        <v>180</v>
      </c>
      <c r="O26" s="118" t="s">
        <v>22</v>
      </c>
      <c r="P26" s="118">
        <v>8</v>
      </c>
      <c r="Q26" s="118" t="s">
        <v>110</v>
      </c>
      <c r="R26" s="118" t="s">
        <v>16</v>
      </c>
      <c r="S26" s="118"/>
      <c r="T26" s="118">
        <v>0.2</v>
      </c>
      <c r="U26" s="118" t="s">
        <v>67</v>
      </c>
      <c r="V26" s="118">
        <f>VLOOKUP(U26,'Conversion tables'!$M$5:$O$8,3,FALSE)</f>
        <v>1</v>
      </c>
      <c r="W26" s="118">
        <f t="shared" si="0"/>
        <v>0.2</v>
      </c>
      <c r="X26" s="76"/>
      <c r="Y26" s="118" t="str">
        <f t="shared" si="1"/>
        <v>LOEC</v>
      </c>
      <c r="Z26" s="118">
        <f>VLOOKUP(Y26,'Conversion tables'!$C$5:$E$19,2,FALSE)</f>
        <v>2.5</v>
      </c>
      <c r="AA26" s="118">
        <f t="shared" si="2"/>
        <v>0.08</v>
      </c>
      <c r="AB26" s="118" t="str">
        <f t="shared" si="3"/>
        <v>Chronic</v>
      </c>
      <c r="AC26" s="118">
        <f>VLOOKUP(AB26,'Conversion tables'!$C$22:$E$23,2,FALSE)</f>
        <v>1</v>
      </c>
      <c r="AD26" s="118">
        <f t="shared" si="4"/>
        <v>0.08</v>
      </c>
      <c r="AE26" s="72"/>
      <c r="AF26" s="81" t="str">
        <f>E26</f>
        <v>Elodea canadensis</v>
      </c>
      <c r="AG26" s="81" t="str">
        <f t="shared" si="6"/>
        <v>LOEC</v>
      </c>
      <c r="AH26" s="81" t="str">
        <f t="shared" si="7"/>
        <v>Chronic</v>
      </c>
      <c r="AI26" s="81">
        <f>VLOOKUP(SUM(Z26,AC26),'Conversion tables'!$J$5:$K$11,2,FALSE)</f>
        <v>2</v>
      </c>
      <c r="AJ26" s="81" t="str">
        <f t="shared" si="8"/>
        <v>Reject</v>
      </c>
      <c r="AK26" s="80"/>
      <c r="AL26" s="81"/>
      <c r="AM26" s="81"/>
      <c r="AN26" s="81"/>
      <c r="AO26" s="77"/>
      <c r="AP26" s="81"/>
      <c r="AQ26" s="80"/>
      <c r="AR26" s="80"/>
      <c r="AS26" s="80"/>
      <c r="AT26" s="80"/>
      <c r="AU26" s="76"/>
      <c r="AV26" s="76"/>
      <c r="AW26" s="76"/>
      <c r="AX26" s="76"/>
      <c r="AY26" s="76"/>
      <c r="AZ26" s="76"/>
      <c r="BA26" s="76"/>
      <c r="BB26" s="76"/>
      <c r="BC26" s="76"/>
      <c r="BE26" s="132"/>
      <c r="BF26" s="124" t="s">
        <v>17</v>
      </c>
      <c r="BG26" s="135" t="s">
        <v>149</v>
      </c>
      <c r="BH26" s="124" t="s">
        <v>96</v>
      </c>
      <c r="BI26" s="124" t="s">
        <v>137</v>
      </c>
      <c r="BJ26" s="124" t="s">
        <v>18</v>
      </c>
      <c r="BK26" s="124">
        <v>4</v>
      </c>
      <c r="BL26" s="151">
        <v>116.31595900000001</v>
      </c>
      <c r="BM26" s="127"/>
    </row>
    <row r="27" spans="1:69" s="89" customFormat="1" thickTop="1" thickBot="1" x14ac:dyDescent="0.25">
      <c r="A27" s="118">
        <v>889</v>
      </c>
      <c r="B27" s="118" t="s">
        <v>263</v>
      </c>
      <c r="C27" s="118"/>
      <c r="D27" s="118" t="s">
        <v>95</v>
      </c>
      <c r="E27" s="118" t="s">
        <v>105</v>
      </c>
      <c r="F27" s="118" t="s">
        <v>106</v>
      </c>
      <c r="G27" s="118" t="s">
        <v>107</v>
      </c>
      <c r="H27" s="118" t="s">
        <v>108</v>
      </c>
      <c r="I27" s="118" t="s">
        <v>18</v>
      </c>
      <c r="J27" s="43" t="s">
        <v>261</v>
      </c>
      <c r="K27" s="118"/>
      <c r="L27" s="95" t="s">
        <v>260</v>
      </c>
      <c r="M27" s="68" t="s">
        <v>62</v>
      </c>
      <c r="N27" s="68" t="s">
        <v>181</v>
      </c>
      <c r="O27" s="118" t="s">
        <v>22</v>
      </c>
      <c r="P27" s="118">
        <v>14</v>
      </c>
      <c r="Q27" s="118" t="s">
        <v>110</v>
      </c>
      <c r="R27" s="118" t="s">
        <v>16</v>
      </c>
      <c r="S27" s="118"/>
      <c r="T27" s="118">
        <v>1</v>
      </c>
      <c r="U27" s="118" t="s">
        <v>67</v>
      </c>
      <c r="V27" s="118">
        <f>VLOOKUP(U27,'Conversion tables'!$M$5:$O$8,3,FALSE)</f>
        <v>1</v>
      </c>
      <c r="W27" s="118">
        <f t="shared" si="0"/>
        <v>1</v>
      </c>
      <c r="X27" s="76"/>
      <c r="Y27" s="118" t="str">
        <f t="shared" si="1"/>
        <v>LOEC</v>
      </c>
      <c r="Z27" s="118">
        <f>VLOOKUP(Y27,'Conversion tables'!$C$5:$E$19,2,FALSE)</f>
        <v>2.5</v>
      </c>
      <c r="AA27" s="118">
        <f t="shared" si="2"/>
        <v>0.4</v>
      </c>
      <c r="AB27" s="118" t="str">
        <f t="shared" si="3"/>
        <v>Chronic</v>
      </c>
      <c r="AC27" s="118">
        <f>VLOOKUP(AB27,'Conversion tables'!$C$22:$E$23,2,FALSE)</f>
        <v>1</v>
      </c>
      <c r="AD27" s="118">
        <f t="shared" si="4"/>
        <v>0.4</v>
      </c>
      <c r="AE27" s="72"/>
      <c r="AF27" s="81" t="str">
        <f>E27</f>
        <v>Elodea canadensis</v>
      </c>
      <c r="AG27" s="81" t="str">
        <f t="shared" si="6"/>
        <v>LOEC</v>
      </c>
      <c r="AH27" s="81" t="str">
        <f t="shared" si="7"/>
        <v>Chronic</v>
      </c>
      <c r="AI27" s="81">
        <f>VLOOKUP(SUM(Z27,AC27),'Conversion tables'!$J$5:$K$11,2,FALSE)</f>
        <v>2</v>
      </c>
      <c r="AJ27" s="81" t="str">
        <f t="shared" si="8"/>
        <v>Reject</v>
      </c>
      <c r="AK27" s="80" t="str">
        <f>N27</f>
        <v>Root Occurrence</v>
      </c>
      <c r="AL27" s="78" t="s">
        <v>249</v>
      </c>
      <c r="AM27" s="81" t="str">
        <f>CONCATENATE(P27," ",Q27)</f>
        <v>14 Days</v>
      </c>
      <c r="AN27" s="78" t="s">
        <v>250</v>
      </c>
      <c r="AO27" s="77"/>
      <c r="AP27" s="81">
        <f>AD27</f>
        <v>0.4</v>
      </c>
      <c r="AQ27" s="80">
        <f>GEOMEAN(AP27)</f>
        <v>0.4</v>
      </c>
      <c r="AR27" s="118">
        <f>MIN(AQ27)</f>
        <v>0.4</v>
      </c>
      <c r="AS27" s="80"/>
      <c r="AT27" s="80"/>
      <c r="AU27" s="76"/>
      <c r="AV27" s="76"/>
      <c r="AW27" s="76"/>
      <c r="AX27" s="76"/>
      <c r="AY27" s="76"/>
      <c r="AZ27" s="76"/>
      <c r="BA27" s="76"/>
      <c r="BB27" s="76"/>
      <c r="BC27" s="76"/>
      <c r="BE27" s="132"/>
      <c r="BF27" s="123" t="s">
        <v>57</v>
      </c>
      <c r="BG27" s="134" t="s">
        <v>164</v>
      </c>
      <c r="BH27" s="123" t="s">
        <v>56</v>
      </c>
      <c r="BI27" s="123" t="s">
        <v>60</v>
      </c>
      <c r="BJ27" s="123" t="s">
        <v>59</v>
      </c>
      <c r="BK27" s="123">
        <v>1</v>
      </c>
      <c r="BL27" s="77">
        <v>4500</v>
      </c>
      <c r="BM27" s="136" t="s">
        <v>265</v>
      </c>
    </row>
    <row r="28" spans="1:69" s="77" customFormat="1" ht="16.5" customHeight="1" thickTop="1" thickBot="1" x14ac:dyDescent="0.25">
      <c r="A28" s="86" t="s">
        <v>201</v>
      </c>
      <c r="B28" s="86" t="s">
        <v>213</v>
      </c>
      <c r="C28" s="86"/>
      <c r="D28" s="86" t="s">
        <v>95</v>
      </c>
      <c r="E28" s="118" t="s">
        <v>105</v>
      </c>
      <c r="F28" s="86" t="s">
        <v>106</v>
      </c>
      <c r="G28" s="118" t="s">
        <v>107</v>
      </c>
      <c r="H28" s="86" t="s">
        <v>108</v>
      </c>
      <c r="I28" s="86" t="s">
        <v>18</v>
      </c>
      <c r="J28" s="86" t="s">
        <v>98</v>
      </c>
      <c r="K28" s="86"/>
      <c r="L28" s="86" t="s">
        <v>208</v>
      </c>
      <c r="M28" s="68" t="s">
        <v>62</v>
      </c>
      <c r="N28" s="68" t="s">
        <v>235</v>
      </c>
      <c r="O28" s="86" t="s">
        <v>15</v>
      </c>
      <c r="P28" s="86">
        <v>14</v>
      </c>
      <c r="Q28" s="86" t="s">
        <v>110</v>
      </c>
      <c r="R28" s="86" t="s">
        <v>16</v>
      </c>
      <c r="S28" s="86"/>
      <c r="T28" s="86">
        <v>0.56999999999999995</v>
      </c>
      <c r="U28" s="86" t="s">
        <v>67</v>
      </c>
      <c r="V28" s="86">
        <f>VLOOKUP(U28,'Conversion tables'!$M$5:$O$8,3,FALSE)</f>
        <v>1</v>
      </c>
      <c r="W28" s="86">
        <f t="shared" si="0"/>
        <v>0.56999999999999995</v>
      </c>
      <c r="X28" s="86"/>
      <c r="Y28" s="86" t="str">
        <f t="shared" si="1"/>
        <v>EC50</v>
      </c>
      <c r="Z28" s="118">
        <f>VLOOKUP(Y28,'Conversion tables'!$C$5:$E$19,2,FALSE)</f>
        <v>5</v>
      </c>
      <c r="AA28" s="86">
        <f t="shared" si="2"/>
        <v>0.11399999999999999</v>
      </c>
      <c r="AB28" s="86" t="str">
        <f t="shared" si="3"/>
        <v>Chronic</v>
      </c>
      <c r="AC28" s="86">
        <f>VLOOKUP(AB28,'Conversion tables'!$C$22:$E$23,2,FALSE)</f>
        <v>1</v>
      </c>
      <c r="AD28" s="86">
        <f t="shared" si="4"/>
        <v>0.11399999999999999</v>
      </c>
      <c r="AE28" s="72"/>
      <c r="AF28" s="81" t="str">
        <f t="shared" si="5"/>
        <v>Elodea canadensis</v>
      </c>
      <c r="AG28" s="81" t="str">
        <f t="shared" si="6"/>
        <v>EC50</v>
      </c>
      <c r="AH28" s="81" t="str">
        <f t="shared" si="7"/>
        <v>Chronic</v>
      </c>
      <c r="AI28" s="81">
        <f>VLOOKUP(SUM(Z28,AC28),'Conversion tables'!$J$5:$K$11,2,FALSE)</f>
        <v>2</v>
      </c>
      <c r="AJ28" s="81" t="str">
        <f t="shared" si="8"/>
        <v>Reject</v>
      </c>
      <c r="AK28" s="80"/>
      <c r="AL28" s="81"/>
      <c r="AM28" s="81"/>
      <c r="AN28" s="81"/>
      <c r="AP28" s="81"/>
      <c r="AQ28" s="80"/>
      <c r="AR28" s="80"/>
      <c r="AS28" s="80"/>
      <c r="AT28" s="80"/>
      <c r="AU28" s="76"/>
      <c r="AV28" s="76"/>
      <c r="AW28" s="76"/>
      <c r="AX28" s="76"/>
      <c r="AY28" s="76"/>
      <c r="AZ28" s="76"/>
      <c r="BA28" s="76"/>
      <c r="BB28" s="76"/>
      <c r="BC28" s="76"/>
      <c r="BD28" s="89"/>
      <c r="BE28" s="132"/>
    </row>
    <row r="29" spans="1:69" s="77" customFormat="1" thickTop="1" thickBot="1" x14ac:dyDescent="0.25">
      <c r="A29" s="86" t="s">
        <v>201</v>
      </c>
      <c r="B29" s="86" t="s">
        <v>214</v>
      </c>
      <c r="C29" s="86"/>
      <c r="D29" s="86" t="s">
        <v>95</v>
      </c>
      <c r="E29" s="118" t="s">
        <v>105</v>
      </c>
      <c r="F29" s="86" t="s">
        <v>106</v>
      </c>
      <c r="G29" s="118" t="s">
        <v>107</v>
      </c>
      <c r="H29" s="86" t="s">
        <v>108</v>
      </c>
      <c r="I29" s="86" t="s">
        <v>18</v>
      </c>
      <c r="J29" s="86" t="s">
        <v>98</v>
      </c>
      <c r="K29" s="86"/>
      <c r="L29" s="86" t="s">
        <v>208</v>
      </c>
      <c r="M29" s="68" t="s">
        <v>62</v>
      </c>
      <c r="N29" s="68" t="s">
        <v>235</v>
      </c>
      <c r="O29" s="86" t="s">
        <v>15</v>
      </c>
      <c r="P29" s="86">
        <v>14</v>
      </c>
      <c r="Q29" s="86" t="s">
        <v>110</v>
      </c>
      <c r="R29" s="86" t="s">
        <v>16</v>
      </c>
      <c r="S29" s="86"/>
      <c r="T29" s="86">
        <v>0.79</v>
      </c>
      <c r="U29" s="86" t="s">
        <v>67</v>
      </c>
      <c r="V29" s="86">
        <f>VLOOKUP(U29,'Conversion tables'!$M$5:$O$8,3,FALSE)</f>
        <v>1</v>
      </c>
      <c r="W29" s="86">
        <f t="shared" si="0"/>
        <v>0.79</v>
      </c>
      <c r="X29" s="86"/>
      <c r="Y29" s="86" t="str">
        <f t="shared" si="1"/>
        <v>EC50</v>
      </c>
      <c r="Z29" s="118">
        <f>VLOOKUP(Y29,'Conversion tables'!$C$5:$E$19,2,FALSE)</f>
        <v>5</v>
      </c>
      <c r="AA29" s="86">
        <f t="shared" si="2"/>
        <v>0.158</v>
      </c>
      <c r="AB29" s="86" t="str">
        <f t="shared" si="3"/>
        <v>Chronic</v>
      </c>
      <c r="AC29" s="86">
        <f>VLOOKUP(AB29,'Conversion tables'!$C$22:$E$23,2,FALSE)</f>
        <v>1</v>
      </c>
      <c r="AD29" s="86">
        <f t="shared" si="4"/>
        <v>0.158</v>
      </c>
      <c r="AE29" s="72"/>
      <c r="AF29" s="81" t="str">
        <f t="shared" si="5"/>
        <v>Elodea canadensis</v>
      </c>
      <c r="AG29" s="81" t="str">
        <f t="shared" si="6"/>
        <v>EC50</v>
      </c>
      <c r="AH29" s="81" t="str">
        <f t="shared" si="7"/>
        <v>Chronic</v>
      </c>
      <c r="AI29" s="81">
        <f>VLOOKUP(SUM(Z29,AC29),'Conversion tables'!$J$5:$K$11,2,FALSE)</f>
        <v>2</v>
      </c>
      <c r="AJ29" s="81" t="str">
        <f t="shared" si="8"/>
        <v>Reject</v>
      </c>
      <c r="AK29" s="80"/>
      <c r="AL29" s="81"/>
      <c r="AM29" s="81"/>
      <c r="AN29" s="81"/>
      <c r="AP29" s="81"/>
      <c r="AQ29" s="80"/>
      <c r="AR29" s="80"/>
      <c r="AS29" s="80"/>
      <c r="AT29" s="80"/>
      <c r="AU29" s="76"/>
      <c r="AV29" s="76"/>
      <c r="AW29" s="76"/>
      <c r="AX29" s="76"/>
      <c r="AY29" s="76"/>
      <c r="AZ29" s="76"/>
      <c r="BA29" s="76"/>
      <c r="BB29" s="76"/>
      <c r="BC29" s="76"/>
      <c r="BD29" s="89"/>
      <c r="BE29" s="132"/>
      <c r="BG29" s="133"/>
    </row>
    <row r="30" spans="1:69" s="77" customFormat="1" thickTop="1" thickBot="1" x14ac:dyDescent="0.25">
      <c r="A30" s="118">
        <v>889</v>
      </c>
      <c r="B30" s="118" t="s">
        <v>268</v>
      </c>
      <c r="C30" s="118"/>
      <c r="D30" s="118" t="s">
        <v>95</v>
      </c>
      <c r="E30" s="118" t="s">
        <v>105</v>
      </c>
      <c r="F30" s="118" t="s">
        <v>106</v>
      </c>
      <c r="G30" s="118" t="s">
        <v>107</v>
      </c>
      <c r="H30" s="118" t="s">
        <v>108</v>
      </c>
      <c r="I30" s="118" t="s">
        <v>18</v>
      </c>
      <c r="J30" s="118" t="s">
        <v>98</v>
      </c>
      <c r="K30" s="118"/>
      <c r="L30" s="118" t="s">
        <v>285</v>
      </c>
      <c r="M30" s="68" t="s">
        <v>62</v>
      </c>
      <c r="N30" s="68" t="s">
        <v>286</v>
      </c>
      <c r="O30" s="118" t="s">
        <v>21</v>
      </c>
      <c r="P30" s="118">
        <v>8</v>
      </c>
      <c r="Q30" s="118" t="s">
        <v>110</v>
      </c>
      <c r="R30" s="118" t="s">
        <v>16</v>
      </c>
      <c r="S30" s="118"/>
      <c r="T30" s="118">
        <v>1</v>
      </c>
      <c r="U30" s="118" t="s">
        <v>67</v>
      </c>
      <c r="V30" s="118">
        <f>VLOOKUP(U30,'Conversion tables'!$M$5:$O$8,3,FALSE)</f>
        <v>1</v>
      </c>
      <c r="W30" s="118">
        <f t="shared" si="0"/>
        <v>1</v>
      </c>
      <c r="X30" s="118"/>
      <c r="Y30" s="118" t="str">
        <f t="shared" si="1"/>
        <v>NOEC</v>
      </c>
      <c r="Z30" s="118">
        <f>VLOOKUP(Y30,'Conversion tables'!$C$5:$E$19,2,FALSE)</f>
        <v>1</v>
      </c>
      <c r="AA30" s="118">
        <f t="shared" si="2"/>
        <v>1</v>
      </c>
      <c r="AB30" s="118" t="str">
        <f t="shared" si="3"/>
        <v>Chronic</v>
      </c>
      <c r="AC30" s="118">
        <f>VLOOKUP(AB30,'Conversion tables'!$C$22:$E$23,2,FALSE)</f>
        <v>1</v>
      </c>
      <c r="AD30" s="118">
        <f t="shared" si="4"/>
        <v>1</v>
      </c>
      <c r="AE30" s="72"/>
      <c r="AF30" s="81" t="str">
        <f>E30</f>
        <v>Elodea canadensis</v>
      </c>
      <c r="AG30" s="81" t="str">
        <f t="shared" si="6"/>
        <v>NOEC</v>
      </c>
      <c r="AH30" s="81" t="str">
        <f t="shared" si="7"/>
        <v>Chronic</v>
      </c>
      <c r="AI30" s="81">
        <f>VLOOKUP(SUM(Z30,AC30),'Conversion tables'!$J$5:$K$11,2,FALSE)</f>
        <v>1</v>
      </c>
      <c r="AJ30" s="81" t="str">
        <f t="shared" si="8"/>
        <v>YES!!!</v>
      </c>
      <c r="AK30" s="80" t="str">
        <f>N30</f>
        <v>Root</v>
      </c>
      <c r="AL30" s="81" t="s">
        <v>287</v>
      </c>
      <c r="AM30" s="81" t="str">
        <f>CONCATENATE(P30," ",Q30)</f>
        <v>8 Days</v>
      </c>
      <c r="AN30" s="81" t="s">
        <v>288</v>
      </c>
      <c r="AP30" s="81">
        <f>AD30</f>
        <v>1</v>
      </c>
      <c r="AQ30" s="80">
        <f>GEOMEAN(AP30)</f>
        <v>1</v>
      </c>
      <c r="AR30" s="118">
        <f>MIN(AQ30)</f>
        <v>1</v>
      </c>
      <c r="AS30" s="80"/>
      <c r="AT30" s="80"/>
      <c r="AU30" s="76"/>
      <c r="AV30" s="76"/>
      <c r="AW30" s="76"/>
      <c r="AX30" s="76"/>
      <c r="AY30" s="76"/>
      <c r="AZ30" s="76"/>
      <c r="BA30" s="76"/>
      <c r="BB30" s="76"/>
      <c r="BC30" s="76"/>
      <c r="BD30" s="89"/>
      <c r="BE30" s="132"/>
      <c r="BG30" s="133"/>
    </row>
    <row r="31" spans="1:69" s="77" customFormat="1" thickTop="1" thickBot="1" x14ac:dyDescent="0.25">
      <c r="A31" s="71"/>
      <c r="B31" s="71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8"/>
      <c r="U31" s="58"/>
      <c r="V31" s="58"/>
      <c r="W31" s="58"/>
      <c r="X31" s="50"/>
      <c r="Y31" s="50"/>
      <c r="Z31" s="50"/>
      <c r="AA31" s="50"/>
      <c r="AB31" s="50"/>
      <c r="AC31" s="50"/>
      <c r="AD31" s="50"/>
      <c r="AE31" s="50"/>
      <c r="AF31" s="58"/>
      <c r="AG31" s="50"/>
      <c r="AH31" s="50"/>
      <c r="AI31" s="50"/>
      <c r="AJ31" s="84"/>
      <c r="AK31" s="50"/>
      <c r="AL31" s="84"/>
      <c r="AM31" s="84"/>
      <c r="AN31" s="84"/>
      <c r="AO31" s="50"/>
      <c r="AP31" s="58"/>
      <c r="AQ31" s="50"/>
      <c r="AR31" s="50"/>
      <c r="AS31" s="50"/>
      <c r="AT31" s="50"/>
      <c r="AU31" s="50"/>
      <c r="AV31" s="50"/>
      <c r="AW31" s="72"/>
      <c r="AX31" s="50"/>
      <c r="AY31" s="50"/>
      <c r="AZ31" s="50"/>
      <c r="BA31" s="50"/>
      <c r="BB31" s="50"/>
      <c r="BC31" s="88"/>
      <c r="BD31" s="89"/>
      <c r="BE31" s="132"/>
      <c r="BF31" s="76"/>
      <c r="BG31" s="76"/>
      <c r="BH31" s="76"/>
      <c r="BI31" s="76"/>
      <c r="BJ31" s="76"/>
      <c r="BK31" s="76"/>
      <c r="BL31" s="80"/>
    </row>
    <row r="32" spans="1:69" s="77" customFormat="1" thickTop="1" thickBot="1" x14ac:dyDescent="0.25">
      <c r="A32" s="75">
        <v>927</v>
      </c>
      <c r="B32" s="75" t="s">
        <v>115</v>
      </c>
      <c r="C32" s="75"/>
      <c r="D32" s="75" t="s">
        <v>95</v>
      </c>
      <c r="E32" s="118" t="s">
        <v>116</v>
      </c>
      <c r="F32" s="104" t="s">
        <v>106</v>
      </c>
      <c r="G32" s="104" t="s">
        <v>107</v>
      </c>
      <c r="H32" s="104" t="s">
        <v>108</v>
      </c>
      <c r="I32" s="104" t="s">
        <v>18</v>
      </c>
      <c r="J32" s="75" t="s">
        <v>98</v>
      </c>
      <c r="K32" s="75"/>
      <c r="L32" s="75" t="s">
        <v>117</v>
      </c>
      <c r="M32" s="68" t="s">
        <v>174</v>
      </c>
      <c r="N32" s="68" t="s">
        <v>239</v>
      </c>
      <c r="O32" s="75" t="s">
        <v>25</v>
      </c>
      <c r="P32" s="75">
        <v>7</v>
      </c>
      <c r="Q32" s="75" t="s">
        <v>110</v>
      </c>
      <c r="R32" s="75" t="s">
        <v>16</v>
      </c>
      <c r="S32" s="75"/>
      <c r="T32" s="75">
        <v>0.27</v>
      </c>
      <c r="U32" s="75" t="s">
        <v>67</v>
      </c>
      <c r="V32" s="75">
        <f>VLOOKUP(U32,'Conversion tables'!$M$5:$O$8,3,FALSE)</f>
        <v>1</v>
      </c>
      <c r="W32" s="75">
        <f t="shared" ref="W32:W43" si="9">V32*T32</f>
        <v>0.27</v>
      </c>
      <c r="X32"/>
      <c r="Y32" s="75" t="str">
        <f t="shared" ref="Y32:Y43" si="10">O32</f>
        <v>EC10</v>
      </c>
      <c r="Z32" s="118">
        <f>VLOOKUP(Y32,'Conversion tables'!$C$5:$E$19,2,FALSE)</f>
        <v>1</v>
      </c>
      <c r="AA32" s="86">
        <f t="shared" ref="AA32:AA43" si="11">W32/Z32</f>
        <v>0.27</v>
      </c>
      <c r="AB32" s="86" t="str">
        <f t="shared" ref="AB32:AB43" si="12">R32</f>
        <v>Chronic</v>
      </c>
      <c r="AC32" s="86">
        <f>VLOOKUP(AB32,'Conversion tables'!$C$22:$E$23,2,FALSE)</f>
        <v>1</v>
      </c>
      <c r="AD32" s="86">
        <f t="shared" ref="AD32:AD43" si="13">AA32/AC32</f>
        <v>0.27</v>
      </c>
      <c r="AE32" s="50"/>
      <c r="AF32" s="81" t="str">
        <f t="shared" ref="AF32:AF38" si="14">E32</f>
        <v>Lemna gibba</v>
      </c>
      <c r="AG32" s="81" t="str">
        <f t="shared" ref="AG32:AG43" si="15">O32</f>
        <v>EC10</v>
      </c>
      <c r="AH32" s="81" t="str">
        <f t="shared" ref="AH32:AH43" si="16">R32</f>
        <v>Chronic</v>
      </c>
      <c r="AI32" s="81">
        <f>VLOOKUP(SUM(Z32,AC32),'Conversion tables'!$J$5:$K$11,2,FALSE)</f>
        <v>1</v>
      </c>
      <c r="AJ32" s="81" t="str">
        <f t="shared" ref="AJ32:AJ38" si="17">IF(AI32=MIN($AI$32:$AI$38),"YES!!!","Reject")</f>
        <v>YES!!!</v>
      </c>
      <c r="AK32" s="80" t="str">
        <f>N32</f>
        <v>Frond Count</v>
      </c>
      <c r="AL32" s="81" t="s">
        <v>185</v>
      </c>
      <c r="AM32" s="81" t="str">
        <f>CONCATENATE(P32," ",Q32)</f>
        <v>7 Days</v>
      </c>
      <c r="AN32" s="81" t="s">
        <v>187</v>
      </c>
      <c r="AO32" s="2"/>
      <c r="AP32" s="81">
        <f>AD32</f>
        <v>0.27</v>
      </c>
      <c r="AQ32" s="80">
        <f>GEOMEAN(AP32:AP34,AP40,AP41)</f>
        <v>0.19342258772823756</v>
      </c>
      <c r="AR32" s="118">
        <f>MIN(AQ32)</f>
        <v>0.19342258772823756</v>
      </c>
      <c r="AS32" s="118">
        <f>MIN(AR32)</f>
        <v>0.19342258772823756</v>
      </c>
      <c r="AT32" s="147" t="s">
        <v>290</v>
      </c>
      <c r="AU32"/>
      <c r="AV32"/>
      <c r="AW32" s="76" t="str">
        <f>H32</f>
        <v>Macrophyte</v>
      </c>
      <c r="AX32" s="76" t="str">
        <f>E32</f>
        <v>Lemna gibba</v>
      </c>
      <c r="AY32" s="76" t="str">
        <f>F32</f>
        <v>Tracheophyta</v>
      </c>
      <c r="AZ32" s="76" t="str">
        <f>G32</f>
        <v>Liliopsida</v>
      </c>
      <c r="BA32" s="76" t="str">
        <f>I32</f>
        <v>Phototroph</v>
      </c>
      <c r="BB32" s="76">
        <f>AI32</f>
        <v>1</v>
      </c>
      <c r="BC32" s="77">
        <f>AS32</f>
        <v>0.19342258772823756</v>
      </c>
      <c r="BD32" s="147" t="s">
        <v>290</v>
      </c>
      <c r="BE32" s="89"/>
      <c r="BF32" s="61"/>
      <c r="BG32" s="61"/>
      <c r="BH32" s="61"/>
      <c r="BI32" s="61"/>
      <c r="BJ32" s="61"/>
      <c r="BK32" s="62"/>
    </row>
    <row r="33" spans="1:66" s="77" customFormat="1" thickTop="1" thickBot="1" x14ac:dyDescent="0.25">
      <c r="A33" s="75">
        <v>927</v>
      </c>
      <c r="B33" s="75" t="s">
        <v>118</v>
      </c>
      <c r="C33" s="75"/>
      <c r="D33" s="75" t="s">
        <v>95</v>
      </c>
      <c r="E33" s="118" t="s">
        <v>116</v>
      </c>
      <c r="F33" s="105" t="s">
        <v>106</v>
      </c>
      <c r="G33" s="105" t="s">
        <v>107</v>
      </c>
      <c r="H33" s="105" t="s">
        <v>108</v>
      </c>
      <c r="I33" s="105" t="s">
        <v>18</v>
      </c>
      <c r="J33" s="75" t="s">
        <v>98</v>
      </c>
      <c r="K33" s="75"/>
      <c r="L33" s="75" t="s">
        <v>117</v>
      </c>
      <c r="M33" s="68" t="s">
        <v>174</v>
      </c>
      <c r="N33" s="68" t="s">
        <v>239</v>
      </c>
      <c r="O33" s="75" t="s">
        <v>15</v>
      </c>
      <c r="P33" s="75">
        <v>7</v>
      </c>
      <c r="Q33" s="75" t="s">
        <v>110</v>
      </c>
      <c r="R33" s="75" t="s">
        <v>16</v>
      </c>
      <c r="S33" s="75"/>
      <c r="T33" s="75">
        <v>0.37</v>
      </c>
      <c r="U33" s="75" t="s">
        <v>67</v>
      </c>
      <c r="V33" s="75">
        <f>VLOOKUP(U33,'Conversion tables'!$M$5:$O$8,3,FALSE)</f>
        <v>1</v>
      </c>
      <c r="W33" s="75">
        <f t="shared" si="9"/>
        <v>0.37</v>
      </c>
      <c r="X33"/>
      <c r="Y33" s="75" t="str">
        <f t="shared" si="10"/>
        <v>EC50</v>
      </c>
      <c r="Z33" s="118">
        <f>VLOOKUP(Y33,'Conversion tables'!$C$5:$E$19,2,FALSE)</f>
        <v>5</v>
      </c>
      <c r="AA33" s="86">
        <f t="shared" si="11"/>
        <v>7.3999999999999996E-2</v>
      </c>
      <c r="AB33" s="86" t="str">
        <f t="shared" si="12"/>
        <v>Chronic</v>
      </c>
      <c r="AC33" s="86">
        <f>VLOOKUP(AB33,'Conversion tables'!$C$22:$E$23,2,FALSE)</f>
        <v>1</v>
      </c>
      <c r="AD33" s="86">
        <f t="shared" si="13"/>
        <v>7.3999999999999996E-2</v>
      </c>
      <c r="AE33" s="50"/>
      <c r="AF33" s="81" t="str">
        <f t="shared" si="14"/>
        <v>Lemna gibba</v>
      </c>
      <c r="AG33" s="81" t="str">
        <f t="shared" si="15"/>
        <v>EC50</v>
      </c>
      <c r="AH33" s="81" t="str">
        <f t="shared" si="16"/>
        <v>Chronic</v>
      </c>
      <c r="AI33" s="81">
        <f>VLOOKUP(SUM(Z33,AC33),'Conversion tables'!$J$5:$K$11,2,FALSE)</f>
        <v>2</v>
      </c>
      <c r="AJ33" s="81" t="str">
        <f t="shared" si="17"/>
        <v>Reject</v>
      </c>
      <c r="AK33" s="6"/>
      <c r="AL33" s="81"/>
      <c r="AM33" s="81"/>
      <c r="AN33" s="81"/>
      <c r="AO33" s="2"/>
      <c r="AP33" s="8"/>
      <c r="AQ33" s="6"/>
      <c r="AR33" s="6"/>
      <c r="AS33" s="6"/>
      <c r="AT33" s="6"/>
      <c r="AU33" s="6"/>
      <c r="AV33" s="6"/>
      <c r="AW33" s="80"/>
      <c r="AX33" s="6"/>
      <c r="AY33" s="6"/>
      <c r="AZ33" s="6"/>
      <c r="BA33" s="6"/>
      <c r="BB33" s="6"/>
      <c r="BC33"/>
      <c r="BD33" s="89"/>
      <c r="BE33" s="89"/>
      <c r="BF33" s="61"/>
      <c r="BG33" s="61"/>
      <c r="BH33" s="61"/>
      <c r="BI33" s="61"/>
      <c r="BJ33" s="61"/>
      <c r="BK33" s="62"/>
    </row>
    <row r="34" spans="1:66" s="77" customFormat="1" thickTop="1" thickBot="1" x14ac:dyDescent="0.25">
      <c r="A34" s="75">
        <v>927</v>
      </c>
      <c r="B34" s="75" t="s">
        <v>119</v>
      </c>
      <c r="C34" s="75"/>
      <c r="D34" s="75" t="s">
        <v>95</v>
      </c>
      <c r="E34" s="118" t="s">
        <v>116</v>
      </c>
      <c r="F34" s="105" t="s">
        <v>106</v>
      </c>
      <c r="G34" s="105" t="s">
        <v>107</v>
      </c>
      <c r="H34" s="105" t="s">
        <v>108</v>
      </c>
      <c r="I34" s="105" t="s">
        <v>18</v>
      </c>
      <c r="J34" s="75" t="s">
        <v>98</v>
      </c>
      <c r="K34" s="75"/>
      <c r="L34" s="75" t="s">
        <v>117</v>
      </c>
      <c r="M34" s="68" t="s">
        <v>174</v>
      </c>
      <c r="N34" s="68" t="s">
        <v>239</v>
      </c>
      <c r="O34" s="75" t="s">
        <v>25</v>
      </c>
      <c r="P34" s="75">
        <v>7</v>
      </c>
      <c r="Q34" s="75" t="s">
        <v>110</v>
      </c>
      <c r="R34" s="75" t="s">
        <v>16</v>
      </c>
      <c r="S34" s="75"/>
      <c r="T34" s="75">
        <v>0.16</v>
      </c>
      <c r="U34" s="75" t="s">
        <v>67</v>
      </c>
      <c r="V34" s="75">
        <f>VLOOKUP(U34,'Conversion tables'!$M$5:$O$8,3,FALSE)</f>
        <v>1</v>
      </c>
      <c r="W34" s="75">
        <f t="shared" si="9"/>
        <v>0.16</v>
      </c>
      <c r="X34"/>
      <c r="Y34" s="75" t="str">
        <f t="shared" si="10"/>
        <v>EC10</v>
      </c>
      <c r="Z34" s="118">
        <f>VLOOKUP(Y34,'Conversion tables'!$C$5:$E$19,2,FALSE)</f>
        <v>1</v>
      </c>
      <c r="AA34" s="86">
        <f t="shared" si="11"/>
        <v>0.16</v>
      </c>
      <c r="AB34" s="86" t="str">
        <f t="shared" si="12"/>
        <v>Chronic</v>
      </c>
      <c r="AC34" s="86">
        <f>VLOOKUP(AB34,'Conversion tables'!$C$22:$E$23,2,FALSE)</f>
        <v>1</v>
      </c>
      <c r="AD34" s="86">
        <f t="shared" si="13"/>
        <v>0.16</v>
      </c>
      <c r="AE34" s="50"/>
      <c r="AF34" s="81" t="str">
        <f t="shared" si="14"/>
        <v>Lemna gibba</v>
      </c>
      <c r="AG34" s="81" t="str">
        <f t="shared" si="15"/>
        <v>EC10</v>
      </c>
      <c r="AH34" s="81" t="str">
        <f t="shared" si="16"/>
        <v>Chronic</v>
      </c>
      <c r="AI34" s="81">
        <f>VLOOKUP(SUM(Z34,AC34),'Conversion tables'!$J$5:$K$11,2,FALSE)</f>
        <v>1</v>
      </c>
      <c r="AJ34" s="81" t="str">
        <f t="shared" si="17"/>
        <v>YES!!!</v>
      </c>
      <c r="AK34" s="80" t="str">
        <f>N34</f>
        <v>Frond Count</v>
      </c>
      <c r="AL34" s="81" t="s">
        <v>185</v>
      </c>
      <c r="AM34" s="81" t="str">
        <f>CONCATENATE(P34," ",Q34)</f>
        <v>7 Days</v>
      </c>
      <c r="AN34" s="81" t="s">
        <v>187</v>
      </c>
      <c r="AO34" s="2"/>
      <c r="AP34" s="81">
        <f>AD34</f>
        <v>0.16</v>
      </c>
      <c r="AQ34" s="80"/>
      <c r="AR34" s="86"/>
      <c r="AS34" s="6"/>
      <c r="AT34" s="6"/>
      <c r="AU34" s="6"/>
      <c r="AV34" s="6"/>
      <c r="AW34" s="80"/>
      <c r="AX34" s="6"/>
      <c r="AY34" s="6"/>
      <c r="AZ34" s="6"/>
      <c r="BA34" s="6"/>
      <c r="BB34" s="6"/>
      <c r="BC34"/>
      <c r="BD34" s="89"/>
      <c r="BE34" s="89"/>
      <c r="BF34" s="61"/>
      <c r="BG34" s="61"/>
      <c r="BH34" s="61"/>
      <c r="BI34" s="61"/>
      <c r="BJ34" s="61"/>
      <c r="BK34" s="62"/>
    </row>
    <row r="35" spans="1:66" s="77" customFormat="1" thickTop="1" thickBot="1" x14ac:dyDescent="0.25">
      <c r="A35" s="75">
        <v>927</v>
      </c>
      <c r="B35" s="75" t="s">
        <v>120</v>
      </c>
      <c r="C35" s="75"/>
      <c r="D35" s="75" t="s">
        <v>95</v>
      </c>
      <c r="E35" s="118" t="s">
        <v>116</v>
      </c>
      <c r="F35" s="105" t="s">
        <v>106</v>
      </c>
      <c r="G35" s="105" t="s">
        <v>107</v>
      </c>
      <c r="H35" s="105" t="s">
        <v>108</v>
      </c>
      <c r="I35" s="105" t="s">
        <v>18</v>
      </c>
      <c r="J35" s="75" t="s">
        <v>98</v>
      </c>
      <c r="K35" s="75"/>
      <c r="L35" s="75" t="s">
        <v>117</v>
      </c>
      <c r="M35" s="68" t="s">
        <v>174</v>
      </c>
      <c r="N35" s="68" t="s">
        <v>239</v>
      </c>
      <c r="O35" s="75" t="s">
        <v>15</v>
      </c>
      <c r="P35" s="75">
        <v>7</v>
      </c>
      <c r="Q35" s="75" t="s">
        <v>110</v>
      </c>
      <c r="R35" s="75" t="s">
        <v>16</v>
      </c>
      <c r="S35" s="75"/>
      <c r="T35" s="75">
        <v>0.5</v>
      </c>
      <c r="U35" s="75" t="s">
        <v>67</v>
      </c>
      <c r="V35" s="75">
        <f>VLOOKUP(U35,'Conversion tables'!$M$5:$O$8,3,FALSE)</f>
        <v>1</v>
      </c>
      <c r="W35" s="75">
        <f t="shared" si="9"/>
        <v>0.5</v>
      </c>
      <c r="X35"/>
      <c r="Y35" s="75" t="str">
        <f t="shared" si="10"/>
        <v>EC50</v>
      </c>
      <c r="Z35" s="118">
        <f>VLOOKUP(Y35,'Conversion tables'!$C$5:$E$19,2,FALSE)</f>
        <v>5</v>
      </c>
      <c r="AA35" s="86">
        <f t="shared" si="11"/>
        <v>0.1</v>
      </c>
      <c r="AB35" s="86" t="str">
        <f t="shared" si="12"/>
        <v>Chronic</v>
      </c>
      <c r="AC35" s="86">
        <f>VLOOKUP(AB35,'Conversion tables'!$C$22:$E$23,2,FALSE)</f>
        <v>1</v>
      </c>
      <c r="AD35" s="86">
        <f t="shared" si="13"/>
        <v>0.1</v>
      </c>
      <c r="AE35" s="50"/>
      <c r="AF35" s="81" t="str">
        <f t="shared" si="14"/>
        <v>Lemna gibba</v>
      </c>
      <c r="AG35" s="81" t="str">
        <f t="shared" si="15"/>
        <v>EC50</v>
      </c>
      <c r="AH35" s="81" t="str">
        <f t="shared" si="16"/>
        <v>Chronic</v>
      </c>
      <c r="AI35" s="81">
        <f>VLOOKUP(SUM(Z35,AC35),'Conversion tables'!$J$5:$K$11,2,FALSE)</f>
        <v>2</v>
      </c>
      <c r="AJ35" s="81" t="str">
        <f t="shared" si="17"/>
        <v>Reject</v>
      </c>
      <c r="AK35" s="6"/>
      <c r="AL35" s="81"/>
      <c r="AM35" s="81"/>
      <c r="AN35" s="81"/>
      <c r="AO35" s="2"/>
      <c r="AP35" s="8"/>
      <c r="AQ35" s="6"/>
      <c r="AR35" s="6"/>
      <c r="AS35" s="6"/>
      <c r="AT35" s="6"/>
      <c r="AU35" s="6"/>
      <c r="AV35" s="6"/>
      <c r="AW35" s="80"/>
      <c r="AX35" s="6"/>
      <c r="AY35" s="6"/>
      <c r="AZ35" s="6"/>
      <c r="BA35" s="6"/>
      <c r="BB35" s="6"/>
      <c r="BC35"/>
      <c r="BD35" s="89"/>
      <c r="BE35" s="89"/>
      <c r="BF35" s="76"/>
      <c r="BG35" s="61"/>
      <c r="BH35" s="61"/>
      <c r="BI35" s="61"/>
      <c r="BJ35" s="76"/>
      <c r="BK35" s="76"/>
      <c r="BM35" s="80"/>
    </row>
    <row r="36" spans="1:66" s="77" customFormat="1" thickTop="1" thickBot="1" x14ac:dyDescent="0.25">
      <c r="A36" s="75">
        <v>930</v>
      </c>
      <c r="B36" s="75" t="s">
        <v>125</v>
      </c>
      <c r="C36" s="75"/>
      <c r="D36" s="75" t="s">
        <v>95</v>
      </c>
      <c r="E36" s="118" t="s">
        <v>116</v>
      </c>
      <c r="F36" s="105" t="s">
        <v>106</v>
      </c>
      <c r="G36" s="105" t="s">
        <v>107</v>
      </c>
      <c r="H36" s="105" t="s">
        <v>108</v>
      </c>
      <c r="I36" s="105" t="s">
        <v>18</v>
      </c>
      <c r="J36" s="75" t="s">
        <v>53</v>
      </c>
      <c r="K36" s="75"/>
      <c r="L36" s="75" t="s">
        <v>182</v>
      </c>
      <c r="M36" s="68" t="s">
        <v>174</v>
      </c>
      <c r="N36" s="68" t="s">
        <v>239</v>
      </c>
      <c r="O36" s="75" t="s">
        <v>15</v>
      </c>
      <c r="P36" s="75">
        <v>7</v>
      </c>
      <c r="Q36" s="75" t="s">
        <v>110</v>
      </c>
      <c r="R36" s="75" t="s">
        <v>16</v>
      </c>
      <c r="S36" s="75"/>
      <c r="T36" s="75">
        <v>0.06</v>
      </c>
      <c r="U36" s="75" t="s">
        <v>67</v>
      </c>
      <c r="V36" s="75">
        <f>VLOOKUP(U36,'Conversion tables'!$M$5:$O$8,3,FALSE)</f>
        <v>1</v>
      </c>
      <c r="W36" s="75">
        <f t="shared" si="9"/>
        <v>0.06</v>
      </c>
      <c r="X36"/>
      <c r="Y36" s="75" t="str">
        <f t="shared" si="10"/>
        <v>EC50</v>
      </c>
      <c r="Z36" s="118">
        <f>VLOOKUP(Y36,'Conversion tables'!$C$5:$E$19,2,FALSE)</f>
        <v>5</v>
      </c>
      <c r="AA36" s="86">
        <f t="shared" si="11"/>
        <v>1.2E-2</v>
      </c>
      <c r="AB36" s="86" t="str">
        <f t="shared" si="12"/>
        <v>Chronic</v>
      </c>
      <c r="AC36" s="86">
        <f>VLOOKUP(AB36,'Conversion tables'!$C$22:$E$23,2,FALSE)</f>
        <v>1</v>
      </c>
      <c r="AD36" s="86">
        <f t="shared" si="13"/>
        <v>1.2E-2</v>
      </c>
      <c r="AE36" s="50"/>
      <c r="AF36" s="81" t="str">
        <f t="shared" si="14"/>
        <v>Lemna gibba</v>
      </c>
      <c r="AG36" s="81" t="str">
        <f t="shared" si="15"/>
        <v>EC50</v>
      </c>
      <c r="AH36" s="81" t="str">
        <f t="shared" si="16"/>
        <v>Chronic</v>
      </c>
      <c r="AI36" s="81">
        <f>VLOOKUP(SUM(Z36,AC36),'Conversion tables'!$J$5:$K$11,2,FALSE)</f>
        <v>2</v>
      </c>
      <c r="AJ36" s="81" t="str">
        <f t="shared" si="17"/>
        <v>Reject</v>
      </c>
      <c r="AK36" s="6"/>
      <c r="AL36" s="81"/>
      <c r="AM36" s="81"/>
      <c r="AN36" s="81"/>
      <c r="AO36" s="2"/>
      <c r="AP36" s="8"/>
      <c r="AQ36" s="6"/>
      <c r="AR36" s="6"/>
      <c r="AS36" s="6"/>
      <c r="AT36" s="6"/>
      <c r="AU36" s="6"/>
      <c r="AV36" s="6"/>
      <c r="AW36" s="80"/>
      <c r="AX36" s="6"/>
      <c r="AY36" s="6"/>
      <c r="AZ36" s="6"/>
      <c r="BA36" s="6"/>
      <c r="BB36" s="6"/>
      <c r="BC36" s="6"/>
      <c r="BD36" s="89"/>
      <c r="BE36" s="89"/>
      <c r="BF36" s="76"/>
      <c r="BG36" s="61"/>
      <c r="BH36" s="61"/>
      <c r="BI36" s="61"/>
      <c r="BJ36" s="76"/>
      <c r="BK36" s="76"/>
      <c r="BL36" s="89"/>
      <c r="BM36" s="80"/>
      <c r="BN36" s="89"/>
    </row>
    <row r="37" spans="1:66" s="77" customFormat="1" thickTop="1" thickBot="1" x14ac:dyDescent="0.25">
      <c r="A37" s="118">
        <v>930</v>
      </c>
      <c r="B37" s="118" t="s">
        <v>268</v>
      </c>
      <c r="C37" s="118"/>
      <c r="D37" s="118" t="s">
        <v>95</v>
      </c>
      <c r="E37" s="118" t="s">
        <v>116</v>
      </c>
      <c r="F37" s="118" t="s">
        <v>106</v>
      </c>
      <c r="G37" s="118" t="s">
        <v>107</v>
      </c>
      <c r="H37" s="118" t="s">
        <v>108</v>
      </c>
      <c r="I37" s="118" t="s">
        <v>18</v>
      </c>
      <c r="J37" s="118" t="s">
        <v>53</v>
      </c>
      <c r="K37" s="118"/>
      <c r="L37" s="68" t="s">
        <v>283</v>
      </c>
      <c r="M37" s="68" t="s">
        <v>178</v>
      </c>
      <c r="N37" s="68" t="s">
        <v>284</v>
      </c>
      <c r="O37" s="118" t="s">
        <v>15</v>
      </c>
      <c r="P37" s="118">
        <v>7</v>
      </c>
      <c r="Q37" s="118" t="s">
        <v>110</v>
      </c>
      <c r="R37" s="118" t="s">
        <v>16</v>
      </c>
      <c r="S37" s="118"/>
      <c r="T37" s="118">
        <v>0.37</v>
      </c>
      <c r="U37" s="118" t="s">
        <v>67</v>
      </c>
      <c r="V37" s="118">
        <f>VLOOKUP(U37,'Conversion tables'!$M$5:$O$8,3,FALSE)</f>
        <v>1</v>
      </c>
      <c r="W37" s="118">
        <f t="shared" si="9"/>
        <v>0.37</v>
      </c>
      <c r="X37" s="76"/>
      <c r="Y37" s="118" t="str">
        <f t="shared" si="10"/>
        <v>EC50</v>
      </c>
      <c r="Z37" s="118">
        <f>VLOOKUP(Y37,'Conversion tables'!$C$5:$E$19,2,FALSE)</f>
        <v>5</v>
      </c>
      <c r="AA37" s="118">
        <f t="shared" si="11"/>
        <v>7.3999999999999996E-2</v>
      </c>
      <c r="AB37" s="118" t="str">
        <f t="shared" si="12"/>
        <v>Chronic</v>
      </c>
      <c r="AC37" s="118">
        <f>VLOOKUP(AB37,'Conversion tables'!$C$22:$E$23,2,FALSE)</f>
        <v>1</v>
      </c>
      <c r="AD37" s="118">
        <f t="shared" si="13"/>
        <v>7.3999999999999996E-2</v>
      </c>
      <c r="AE37" s="72"/>
      <c r="AF37" s="81" t="str">
        <f>E37</f>
        <v>Lemna gibba</v>
      </c>
      <c r="AG37" s="81" t="str">
        <f t="shared" si="15"/>
        <v>EC50</v>
      </c>
      <c r="AH37" s="81" t="str">
        <f t="shared" si="16"/>
        <v>Chronic</v>
      </c>
      <c r="AI37" s="81">
        <f>VLOOKUP(SUM(Z37,AC37),'Conversion tables'!$J$5:$K$11,2,FALSE)</f>
        <v>2</v>
      </c>
      <c r="AJ37" s="81" t="str">
        <f>IF(AI37=MIN($AI$32:$AI$38),"YES!!!","Reject")</f>
        <v>Reject</v>
      </c>
      <c r="AK37" s="80"/>
      <c r="AL37" s="81"/>
      <c r="AM37" s="81"/>
      <c r="AN37" s="81"/>
      <c r="AP37" s="81"/>
      <c r="AQ37" s="80"/>
      <c r="AR37" s="80"/>
      <c r="AS37" s="80"/>
      <c r="AT37" s="80"/>
      <c r="AU37" s="80"/>
      <c r="AV37" s="80"/>
      <c r="AW37" s="80"/>
      <c r="AX37" s="80"/>
      <c r="AY37" s="80"/>
      <c r="AZ37" s="80"/>
      <c r="BA37" s="80"/>
      <c r="BB37" s="80"/>
      <c r="BC37" s="80"/>
      <c r="BD37" s="89"/>
      <c r="BE37" s="89"/>
      <c r="BF37" s="76"/>
      <c r="BG37" s="61"/>
      <c r="BH37" s="61"/>
      <c r="BI37" s="61"/>
      <c r="BJ37" s="76"/>
      <c r="BK37" s="76"/>
      <c r="BL37" s="89"/>
      <c r="BM37" s="80"/>
      <c r="BN37" s="89"/>
    </row>
    <row r="38" spans="1:66" s="77" customFormat="1" thickTop="1" thickBot="1" x14ac:dyDescent="0.25">
      <c r="A38" s="75">
        <v>15838</v>
      </c>
      <c r="B38" s="75">
        <v>2016073</v>
      </c>
      <c r="C38" s="75"/>
      <c r="D38" s="75" t="s">
        <v>95</v>
      </c>
      <c r="E38" s="118" t="s">
        <v>116</v>
      </c>
      <c r="F38" s="105" t="s">
        <v>106</v>
      </c>
      <c r="G38" s="105" t="s">
        <v>107</v>
      </c>
      <c r="H38" s="105" t="s">
        <v>108</v>
      </c>
      <c r="I38" s="105" t="s">
        <v>18</v>
      </c>
      <c r="J38" s="75" t="s">
        <v>98</v>
      </c>
      <c r="K38" s="75"/>
      <c r="L38" s="75" t="s">
        <v>162</v>
      </c>
      <c r="M38" s="68" t="s">
        <v>242</v>
      </c>
      <c r="N38" s="68" t="s">
        <v>243</v>
      </c>
      <c r="O38" s="75" t="s">
        <v>15</v>
      </c>
      <c r="P38" s="75">
        <v>7</v>
      </c>
      <c r="Q38" s="75" t="s">
        <v>110</v>
      </c>
      <c r="R38" s="75" t="s">
        <v>16</v>
      </c>
      <c r="S38" s="75"/>
      <c r="T38" s="75">
        <v>0.41</v>
      </c>
      <c r="U38" s="75" t="s">
        <v>159</v>
      </c>
      <c r="V38" s="75">
        <f>VLOOKUP(U38,'Conversion tables'!$M$5:$O$8,3,FALSE)</f>
        <v>1</v>
      </c>
      <c r="W38" s="75">
        <f t="shared" si="9"/>
        <v>0.41</v>
      </c>
      <c r="X38"/>
      <c r="Y38" s="75" t="str">
        <f t="shared" si="10"/>
        <v>EC50</v>
      </c>
      <c r="Z38" s="118">
        <f>VLOOKUP(Y38,'Conversion tables'!$C$5:$E$19,2,FALSE)</f>
        <v>5</v>
      </c>
      <c r="AA38" s="86">
        <f t="shared" si="11"/>
        <v>8.199999999999999E-2</v>
      </c>
      <c r="AB38" s="86" t="str">
        <f t="shared" si="12"/>
        <v>Chronic</v>
      </c>
      <c r="AC38" s="86">
        <f>VLOOKUP(AB38,'Conversion tables'!$C$22:$E$23,2,FALSE)</f>
        <v>1</v>
      </c>
      <c r="AD38" s="86">
        <f t="shared" si="13"/>
        <v>8.199999999999999E-2</v>
      </c>
      <c r="AE38" s="50"/>
      <c r="AF38" s="81" t="str">
        <f t="shared" si="14"/>
        <v>Lemna gibba</v>
      </c>
      <c r="AG38" s="81" t="str">
        <f t="shared" si="15"/>
        <v>EC50</v>
      </c>
      <c r="AH38" s="81" t="str">
        <f t="shared" si="16"/>
        <v>Chronic</v>
      </c>
      <c r="AI38" s="81">
        <f>VLOOKUP(SUM(Z38,AC38),'Conversion tables'!$J$5:$K$11,2,FALSE)</f>
        <v>2</v>
      </c>
      <c r="AJ38" s="81" t="str">
        <f t="shared" si="17"/>
        <v>Reject</v>
      </c>
      <c r="AK38" s="6"/>
      <c r="AL38" s="81"/>
      <c r="AM38" s="81"/>
      <c r="AN38" s="81"/>
      <c r="AO38" s="2"/>
      <c r="AP38" s="8"/>
      <c r="AQ38" s="6"/>
      <c r="AR38" s="6"/>
      <c r="AS38" s="6"/>
      <c r="AT38" s="6"/>
      <c r="AU38" s="6"/>
      <c r="AV38" s="6"/>
      <c r="AW38" s="80"/>
      <c r="AX38" s="6"/>
      <c r="AY38" s="6"/>
      <c r="AZ38" s="6"/>
      <c r="BA38" s="6"/>
      <c r="BB38" s="6"/>
      <c r="BC38" s="6"/>
      <c r="BD38" s="89"/>
      <c r="BE38" s="89"/>
      <c r="BF38" s="76"/>
      <c r="BG38" s="61"/>
      <c r="BH38" s="61"/>
      <c r="BI38" s="61"/>
      <c r="BJ38" s="76"/>
      <c r="BK38" s="76"/>
      <c r="BM38" s="80"/>
    </row>
    <row r="39" spans="1:66" s="77" customFormat="1" thickTop="1" thickBot="1" x14ac:dyDescent="0.25">
      <c r="A39" s="118">
        <v>927</v>
      </c>
      <c r="B39" s="118" t="s">
        <v>268</v>
      </c>
      <c r="C39" s="118"/>
      <c r="D39" s="118" t="s">
        <v>95</v>
      </c>
      <c r="E39" s="118" t="s">
        <v>116</v>
      </c>
      <c r="F39" s="118" t="s">
        <v>106</v>
      </c>
      <c r="G39" s="118" t="s">
        <v>107</v>
      </c>
      <c r="H39" s="118" t="s">
        <v>108</v>
      </c>
      <c r="I39" s="118" t="s">
        <v>18</v>
      </c>
      <c r="J39" s="118" t="s">
        <v>98</v>
      </c>
      <c r="K39" s="118"/>
      <c r="L39" s="118" t="s">
        <v>117</v>
      </c>
      <c r="M39" s="68" t="s">
        <v>174</v>
      </c>
      <c r="N39" s="68" t="s">
        <v>239</v>
      </c>
      <c r="O39" s="118" t="s">
        <v>15</v>
      </c>
      <c r="P39" s="118">
        <v>7</v>
      </c>
      <c r="Q39" s="118" t="s">
        <v>110</v>
      </c>
      <c r="R39" s="118" t="s">
        <v>16</v>
      </c>
      <c r="S39" s="118"/>
      <c r="T39" s="118">
        <v>0.64</v>
      </c>
      <c r="U39" s="118" t="s">
        <v>67</v>
      </c>
      <c r="V39" s="118">
        <f>VLOOKUP(U39,'Conversion tables'!$M$5:$O$8,3,FALSE)</f>
        <v>1</v>
      </c>
      <c r="W39" s="118">
        <f t="shared" si="9"/>
        <v>0.64</v>
      </c>
      <c r="X39" s="76"/>
      <c r="Y39" s="118" t="str">
        <f t="shared" si="10"/>
        <v>EC50</v>
      </c>
      <c r="Z39" s="118">
        <f>VLOOKUP(Y39,'Conversion tables'!$C$5:$E$19,2,FALSE)</f>
        <v>5</v>
      </c>
      <c r="AA39" s="118">
        <f t="shared" si="11"/>
        <v>0.128</v>
      </c>
      <c r="AB39" s="118" t="str">
        <f t="shared" si="12"/>
        <v>Chronic</v>
      </c>
      <c r="AC39" s="118">
        <f>VLOOKUP(AB39,'Conversion tables'!$C$22:$E$23,2,FALSE)</f>
        <v>1</v>
      </c>
      <c r="AD39" s="118">
        <f t="shared" si="13"/>
        <v>0.128</v>
      </c>
      <c r="AE39" s="72"/>
      <c r="AF39" s="81" t="str">
        <f>E39</f>
        <v>Lemna gibba</v>
      </c>
      <c r="AG39" s="81" t="str">
        <f t="shared" si="15"/>
        <v>EC50</v>
      </c>
      <c r="AH39" s="81" t="str">
        <f t="shared" si="16"/>
        <v>Chronic</v>
      </c>
      <c r="AI39" s="81">
        <f>VLOOKUP(SUM(Z39,AC39),'Conversion tables'!$J$5:$K$11,2,FALSE)</f>
        <v>2</v>
      </c>
      <c r="AJ39" s="81" t="str">
        <f>IF(AI39=MIN($AI$32:$AI$38),"YES!!!","Reject")</f>
        <v>Reject</v>
      </c>
      <c r="AK39" s="80"/>
      <c r="AL39" s="81"/>
      <c r="AM39" s="81"/>
      <c r="AN39" s="81"/>
      <c r="AP39" s="81"/>
      <c r="AQ39" s="80"/>
      <c r="AR39" s="80"/>
      <c r="AS39" s="80"/>
      <c r="AT39" s="80"/>
      <c r="AU39" s="80"/>
      <c r="AV39" s="80"/>
      <c r="AW39" s="80"/>
      <c r="AX39" s="80"/>
      <c r="AY39" s="80"/>
      <c r="AZ39" s="80"/>
      <c r="BA39" s="80"/>
      <c r="BB39" s="80"/>
      <c r="BC39" s="80"/>
      <c r="BD39" s="89"/>
      <c r="BE39" s="89"/>
      <c r="BF39" s="76"/>
      <c r="BG39" s="61"/>
      <c r="BH39" s="61"/>
      <c r="BI39" s="61"/>
      <c r="BJ39" s="76"/>
      <c r="BK39" s="76"/>
      <c r="BM39" s="80"/>
    </row>
    <row r="40" spans="1:66" s="77" customFormat="1" thickTop="1" thickBot="1" x14ac:dyDescent="0.25">
      <c r="A40" s="118">
        <v>927</v>
      </c>
      <c r="B40" s="118" t="s">
        <v>268</v>
      </c>
      <c r="C40" s="118"/>
      <c r="D40" s="118" t="s">
        <v>95</v>
      </c>
      <c r="E40" s="118" t="s">
        <v>116</v>
      </c>
      <c r="F40" s="118" t="s">
        <v>106</v>
      </c>
      <c r="G40" s="118" t="s">
        <v>107</v>
      </c>
      <c r="H40" s="118" t="s">
        <v>108</v>
      </c>
      <c r="I40" s="118" t="s">
        <v>18</v>
      </c>
      <c r="J40" s="118" t="s">
        <v>98</v>
      </c>
      <c r="K40" s="118"/>
      <c r="L40" s="118" t="s">
        <v>117</v>
      </c>
      <c r="M40" s="68" t="s">
        <v>174</v>
      </c>
      <c r="N40" s="68" t="s">
        <v>239</v>
      </c>
      <c r="O40" s="118" t="s">
        <v>25</v>
      </c>
      <c r="P40" s="118">
        <v>7</v>
      </c>
      <c r="Q40" s="118" t="s">
        <v>110</v>
      </c>
      <c r="R40" s="118" t="s">
        <v>16</v>
      </c>
      <c r="S40" s="118"/>
      <c r="T40" s="118">
        <v>0.12</v>
      </c>
      <c r="U40" s="118" t="s">
        <v>67</v>
      </c>
      <c r="V40" s="118">
        <f>VLOOKUP(U40,'Conversion tables'!$M$5:$O$8,3,FALSE)</f>
        <v>1</v>
      </c>
      <c r="W40" s="118">
        <f t="shared" si="9"/>
        <v>0.12</v>
      </c>
      <c r="X40" s="76"/>
      <c r="Y40" s="118" t="str">
        <f t="shared" si="10"/>
        <v>EC10</v>
      </c>
      <c r="Z40" s="118">
        <f>VLOOKUP(Y40,'Conversion tables'!$C$5:$E$19,2,FALSE)</f>
        <v>1</v>
      </c>
      <c r="AA40" s="118">
        <f t="shared" si="11"/>
        <v>0.12</v>
      </c>
      <c r="AB40" s="118" t="str">
        <f t="shared" si="12"/>
        <v>Chronic</v>
      </c>
      <c r="AC40" s="118">
        <f>VLOOKUP(AB40,'Conversion tables'!$C$22:$E$23,2,FALSE)</f>
        <v>1</v>
      </c>
      <c r="AD40" s="118">
        <f t="shared" si="13"/>
        <v>0.12</v>
      </c>
      <c r="AE40" s="72"/>
      <c r="AF40" s="81" t="str">
        <f>E40</f>
        <v>Lemna gibba</v>
      </c>
      <c r="AG40" s="81" t="str">
        <f t="shared" si="15"/>
        <v>EC10</v>
      </c>
      <c r="AH40" s="81" t="str">
        <f t="shared" si="16"/>
        <v>Chronic</v>
      </c>
      <c r="AI40" s="81">
        <f>VLOOKUP(SUM(Z40,AC40),'Conversion tables'!$J$5:$K$11,2,FALSE)</f>
        <v>1</v>
      </c>
      <c r="AJ40" s="81" t="str">
        <f>IF(AI40=MIN($AI$32:$AI$38),"YES!!!","Reject")</f>
        <v>YES!!!</v>
      </c>
      <c r="AK40" s="80" t="str">
        <f>N40</f>
        <v>Frond Count</v>
      </c>
      <c r="AL40" s="81" t="s">
        <v>185</v>
      </c>
      <c r="AM40" s="81" t="str">
        <f>CONCATENATE(P40," ",Q40)</f>
        <v>7 Days</v>
      </c>
      <c r="AN40" s="81" t="s">
        <v>187</v>
      </c>
      <c r="AP40" s="81">
        <f>AD40</f>
        <v>0.12</v>
      </c>
      <c r="AQ40" s="80"/>
      <c r="AR40" s="80"/>
      <c r="AS40" s="80"/>
      <c r="AT40" s="80"/>
      <c r="AU40" s="80"/>
      <c r="AV40" s="80"/>
      <c r="AW40" s="80"/>
      <c r="AX40" s="80"/>
      <c r="AY40" s="80"/>
      <c r="AZ40" s="80"/>
      <c r="BA40" s="80"/>
      <c r="BB40" s="80"/>
      <c r="BC40" s="80"/>
      <c r="BD40" s="89"/>
      <c r="BE40" s="89"/>
      <c r="BF40" s="76"/>
      <c r="BG40" s="61"/>
      <c r="BH40" s="61"/>
      <c r="BI40" s="61"/>
      <c r="BJ40" s="76"/>
      <c r="BK40" s="76"/>
      <c r="BM40" s="80"/>
    </row>
    <row r="41" spans="1:66" s="77" customFormat="1" thickTop="1" thickBot="1" x14ac:dyDescent="0.25">
      <c r="A41" s="118">
        <v>927</v>
      </c>
      <c r="B41" s="118" t="s">
        <v>268</v>
      </c>
      <c r="C41" s="118"/>
      <c r="D41" s="118" t="s">
        <v>95</v>
      </c>
      <c r="E41" s="118" t="s">
        <v>116</v>
      </c>
      <c r="F41" s="118" t="s">
        <v>106</v>
      </c>
      <c r="G41" s="118" t="s">
        <v>107</v>
      </c>
      <c r="H41" s="118" t="s">
        <v>108</v>
      </c>
      <c r="I41" s="118" t="s">
        <v>18</v>
      </c>
      <c r="J41" s="118" t="s">
        <v>98</v>
      </c>
      <c r="K41" s="118"/>
      <c r="L41" s="118" t="s">
        <v>117</v>
      </c>
      <c r="M41" s="68" t="s">
        <v>174</v>
      </c>
      <c r="N41" s="68" t="s">
        <v>239</v>
      </c>
      <c r="O41" s="118" t="s">
        <v>25</v>
      </c>
      <c r="P41" s="118">
        <v>7</v>
      </c>
      <c r="Q41" s="118" t="s">
        <v>110</v>
      </c>
      <c r="R41" s="118" t="s">
        <v>16</v>
      </c>
      <c r="S41" s="118"/>
      <c r="T41" s="118">
        <v>0.27</v>
      </c>
      <c r="U41" s="118" t="s">
        <v>67</v>
      </c>
      <c r="V41" s="118">
        <f>VLOOKUP(U41,'Conversion tables'!$M$5:$O$8,3,FALSE)</f>
        <v>1</v>
      </c>
      <c r="W41" s="118">
        <f t="shared" si="9"/>
        <v>0.27</v>
      </c>
      <c r="X41" s="76"/>
      <c r="Y41" s="118" t="str">
        <f t="shared" si="10"/>
        <v>EC10</v>
      </c>
      <c r="Z41" s="118">
        <f>VLOOKUP(Y41,'Conversion tables'!$C$5:$E$19,2,FALSE)</f>
        <v>1</v>
      </c>
      <c r="AA41" s="118">
        <f t="shared" si="11"/>
        <v>0.27</v>
      </c>
      <c r="AB41" s="118" t="str">
        <f t="shared" si="12"/>
        <v>Chronic</v>
      </c>
      <c r="AC41" s="118">
        <f>VLOOKUP(AB41,'Conversion tables'!$C$22:$E$23,2,FALSE)</f>
        <v>1</v>
      </c>
      <c r="AD41" s="118">
        <f t="shared" si="13"/>
        <v>0.27</v>
      </c>
      <c r="AE41" s="72"/>
      <c r="AF41" s="81" t="str">
        <f>E41</f>
        <v>Lemna gibba</v>
      </c>
      <c r="AG41" s="81" t="str">
        <f t="shared" si="15"/>
        <v>EC10</v>
      </c>
      <c r="AH41" s="81" t="str">
        <f t="shared" si="16"/>
        <v>Chronic</v>
      </c>
      <c r="AI41" s="81">
        <f>VLOOKUP(SUM(Z41,AC41),'Conversion tables'!$J$5:$K$11,2,FALSE)</f>
        <v>1</v>
      </c>
      <c r="AJ41" s="81" t="str">
        <f>IF(AI41=MIN($AI$32:$AI$38),"YES!!!","Reject")</f>
        <v>YES!!!</v>
      </c>
      <c r="AK41" s="80" t="str">
        <f>N41</f>
        <v>Frond Count</v>
      </c>
      <c r="AL41" s="81" t="s">
        <v>185</v>
      </c>
      <c r="AM41" s="81" t="str">
        <f>CONCATENATE(P41," ",Q41)</f>
        <v>7 Days</v>
      </c>
      <c r="AN41" s="81" t="s">
        <v>187</v>
      </c>
      <c r="AP41" s="81">
        <f>AD41</f>
        <v>0.27</v>
      </c>
      <c r="AQ41" s="80"/>
      <c r="AR41" s="80"/>
      <c r="AS41" s="80"/>
      <c r="AT41" s="80"/>
      <c r="AU41" s="80"/>
      <c r="AV41" s="80"/>
      <c r="AW41" s="80"/>
      <c r="AX41" s="80"/>
      <c r="AY41" s="80"/>
      <c r="AZ41" s="80"/>
      <c r="BA41" s="80"/>
      <c r="BB41" s="80"/>
      <c r="BC41" s="80"/>
      <c r="BD41" s="89"/>
      <c r="BE41" s="89"/>
      <c r="BF41" s="76"/>
      <c r="BG41" s="61"/>
      <c r="BH41" s="61"/>
      <c r="BI41" s="61"/>
      <c r="BJ41" s="76"/>
      <c r="BK41" s="76"/>
      <c r="BM41" s="80"/>
    </row>
    <row r="42" spans="1:66" s="77" customFormat="1" thickTop="1" thickBot="1" x14ac:dyDescent="0.25">
      <c r="A42" s="118">
        <v>927</v>
      </c>
      <c r="B42" s="118" t="s">
        <v>268</v>
      </c>
      <c r="C42" s="118"/>
      <c r="D42" s="118" t="s">
        <v>95</v>
      </c>
      <c r="E42" s="118" t="s">
        <v>116</v>
      </c>
      <c r="F42" s="118" t="s">
        <v>106</v>
      </c>
      <c r="G42" s="118" t="s">
        <v>107</v>
      </c>
      <c r="H42" s="118" t="s">
        <v>108</v>
      </c>
      <c r="I42" s="118" t="s">
        <v>18</v>
      </c>
      <c r="J42" s="118" t="s">
        <v>98</v>
      </c>
      <c r="K42" s="118"/>
      <c r="L42" s="118" t="s">
        <v>117</v>
      </c>
      <c r="M42" s="68" t="s">
        <v>174</v>
      </c>
      <c r="N42" s="68" t="s">
        <v>239</v>
      </c>
      <c r="O42" s="118" t="s">
        <v>15</v>
      </c>
      <c r="P42" s="118">
        <v>7</v>
      </c>
      <c r="Q42" s="118" t="s">
        <v>110</v>
      </c>
      <c r="R42" s="118" t="s">
        <v>16</v>
      </c>
      <c r="S42" s="118"/>
      <c r="T42" s="118">
        <v>1.4</v>
      </c>
      <c r="U42" s="118" t="s">
        <v>67</v>
      </c>
      <c r="V42" s="118">
        <f>VLOOKUP(U42,'Conversion tables'!$M$5:$O$8,3,FALSE)</f>
        <v>1</v>
      </c>
      <c r="W42" s="118">
        <f t="shared" si="9"/>
        <v>1.4</v>
      </c>
      <c r="X42" s="76"/>
      <c r="Y42" s="118" t="str">
        <f t="shared" si="10"/>
        <v>EC50</v>
      </c>
      <c r="Z42" s="118">
        <f>VLOOKUP(Y42,'Conversion tables'!$C$5:$E$19,2,FALSE)</f>
        <v>5</v>
      </c>
      <c r="AA42" s="118">
        <f t="shared" si="11"/>
        <v>0.27999999999999997</v>
      </c>
      <c r="AB42" s="118" t="str">
        <f t="shared" si="12"/>
        <v>Chronic</v>
      </c>
      <c r="AC42" s="118">
        <f>VLOOKUP(AB42,'Conversion tables'!$C$22:$E$23,2,FALSE)</f>
        <v>1</v>
      </c>
      <c r="AD42" s="118">
        <f t="shared" si="13"/>
        <v>0.27999999999999997</v>
      </c>
      <c r="AE42" s="72"/>
      <c r="AF42" s="81" t="str">
        <f>E42</f>
        <v>Lemna gibba</v>
      </c>
      <c r="AG42" s="81" t="str">
        <f t="shared" si="15"/>
        <v>EC50</v>
      </c>
      <c r="AH42" s="81" t="str">
        <f t="shared" si="16"/>
        <v>Chronic</v>
      </c>
      <c r="AI42" s="81">
        <f>VLOOKUP(SUM(Z42,AC42),'Conversion tables'!$J$5:$K$11,2,FALSE)</f>
        <v>2</v>
      </c>
      <c r="AJ42" s="81" t="str">
        <f>IF(AI42=MIN($AI$32:$AI$38),"YES!!!","Reject")</f>
        <v>Reject</v>
      </c>
      <c r="AK42" s="80"/>
      <c r="AL42" s="81"/>
      <c r="AM42" s="81"/>
      <c r="AN42" s="81"/>
      <c r="AP42" s="81"/>
      <c r="AQ42" s="80"/>
      <c r="AR42" s="80"/>
      <c r="AS42" s="80"/>
      <c r="AT42" s="80"/>
      <c r="AU42" s="80"/>
      <c r="AV42" s="80"/>
      <c r="AW42" s="80"/>
      <c r="AX42" s="80"/>
      <c r="AY42" s="80"/>
      <c r="AZ42" s="80"/>
      <c r="BA42" s="80"/>
      <c r="BB42" s="80"/>
      <c r="BC42" s="80"/>
      <c r="BD42" s="89"/>
      <c r="BE42" s="89"/>
      <c r="BF42" s="76"/>
      <c r="BG42" s="61"/>
      <c r="BH42" s="61"/>
      <c r="BI42" s="61"/>
      <c r="BJ42" s="76"/>
      <c r="BK42" s="76"/>
      <c r="BM42" s="80"/>
    </row>
    <row r="43" spans="1:66" s="77" customFormat="1" thickTop="1" thickBot="1" x14ac:dyDescent="0.25">
      <c r="A43" s="118">
        <v>927</v>
      </c>
      <c r="B43" s="118" t="s">
        <v>268</v>
      </c>
      <c r="C43" s="118"/>
      <c r="D43" s="118" t="s">
        <v>95</v>
      </c>
      <c r="E43" s="118" t="s">
        <v>116</v>
      </c>
      <c r="F43" s="118" t="s">
        <v>106</v>
      </c>
      <c r="G43" s="118" t="s">
        <v>107</v>
      </c>
      <c r="H43" s="118" t="s">
        <v>108</v>
      </c>
      <c r="I43" s="118" t="s">
        <v>18</v>
      </c>
      <c r="J43" s="118" t="s">
        <v>98</v>
      </c>
      <c r="K43" s="118"/>
      <c r="L43" s="118" t="s">
        <v>117</v>
      </c>
      <c r="M43" s="68" t="s">
        <v>174</v>
      </c>
      <c r="N43" s="68" t="s">
        <v>239</v>
      </c>
      <c r="O43" s="118" t="s">
        <v>15</v>
      </c>
      <c r="P43" s="118">
        <v>11</v>
      </c>
      <c r="Q43" s="118" t="s">
        <v>110</v>
      </c>
      <c r="R43" s="118" t="s">
        <v>16</v>
      </c>
      <c r="S43" s="118"/>
      <c r="T43" s="118">
        <v>0.68</v>
      </c>
      <c r="U43" s="118" t="s">
        <v>67</v>
      </c>
      <c r="V43" s="118">
        <f>VLOOKUP(U43,'Conversion tables'!$M$5:$O$8,3,FALSE)</f>
        <v>1</v>
      </c>
      <c r="W43" s="118">
        <f t="shared" si="9"/>
        <v>0.68</v>
      </c>
      <c r="X43" s="76"/>
      <c r="Y43" s="118" t="str">
        <f t="shared" si="10"/>
        <v>EC50</v>
      </c>
      <c r="Z43" s="118">
        <f>VLOOKUP(Y43,'Conversion tables'!$C$5:$E$19,2,FALSE)</f>
        <v>5</v>
      </c>
      <c r="AA43" s="118">
        <f t="shared" si="11"/>
        <v>0.13600000000000001</v>
      </c>
      <c r="AB43" s="118" t="str">
        <f t="shared" si="12"/>
        <v>Chronic</v>
      </c>
      <c r="AC43" s="118">
        <f>VLOOKUP(AB43,'Conversion tables'!$C$22:$E$23,2,FALSE)</f>
        <v>1</v>
      </c>
      <c r="AD43" s="118">
        <f t="shared" si="13"/>
        <v>0.13600000000000001</v>
      </c>
      <c r="AE43" s="72"/>
      <c r="AF43" s="81" t="str">
        <f>E43</f>
        <v>Lemna gibba</v>
      </c>
      <c r="AG43" s="81" t="str">
        <f t="shared" si="15"/>
        <v>EC50</v>
      </c>
      <c r="AH43" s="81" t="str">
        <f t="shared" si="16"/>
        <v>Chronic</v>
      </c>
      <c r="AI43" s="81">
        <f>VLOOKUP(SUM(Z43,AC43),'Conversion tables'!$J$5:$K$11,2,FALSE)</f>
        <v>2</v>
      </c>
      <c r="AJ43" s="81" t="str">
        <f>IF(AI43=MIN($AI$32:$AI$38),"YES!!!","Reject")</f>
        <v>Reject</v>
      </c>
      <c r="AK43" s="80"/>
      <c r="AL43" s="81"/>
      <c r="AM43" s="81"/>
      <c r="AN43" s="81"/>
      <c r="AP43" s="81"/>
      <c r="AQ43" s="80"/>
      <c r="AR43" s="80"/>
      <c r="AS43" s="80"/>
      <c r="AT43" s="80"/>
      <c r="AU43" s="80"/>
      <c r="AV43" s="80"/>
      <c r="AW43" s="80"/>
      <c r="AX43" s="80"/>
      <c r="AY43" s="80"/>
      <c r="AZ43" s="80"/>
      <c r="BA43" s="80"/>
      <c r="BB43" s="80"/>
      <c r="BC43" s="80"/>
      <c r="BD43" s="89"/>
      <c r="BE43" s="89"/>
      <c r="BF43" s="76"/>
      <c r="BG43" s="61"/>
      <c r="BH43" s="61"/>
      <c r="BI43" s="61"/>
      <c r="BJ43" s="76"/>
      <c r="BK43" s="76"/>
      <c r="BM43" s="80"/>
    </row>
    <row r="44" spans="1:66" s="89" customFormat="1" thickTop="1" thickBot="1" x14ac:dyDescent="0.25">
      <c r="A44" s="71"/>
      <c r="B44" s="71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8"/>
      <c r="U44" s="58"/>
      <c r="V44" s="58"/>
      <c r="W44" s="58"/>
      <c r="X44" s="50"/>
      <c r="Y44" s="50"/>
      <c r="Z44" s="50"/>
      <c r="AA44" s="50"/>
      <c r="AB44" s="50"/>
      <c r="AC44" s="50"/>
      <c r="AD44" s="50"/>
      <c r="AE44" s="50"/>
      <c r="AF44" s="58"/>
      <c r="AG44" s="50"/>
      <c r="AH44" s="50"/>
      <c r="AI44" s="50"/>
      <c r="AJ44" s="84"/>
      <c r="AK44" s="50"/>
      <c r="AL44" s="84"/>
      <c r="AM44" s="84"/>
      <c r="AN44" s="84"/>
      <c r="AO44" s="50"/>
      <c r="AP44" s="58"/>
      <c r="AQ44" s="50"/>
      <c r="AR44" s="50"/>
      <c r="AS44" s="50"/>
      <c r="AT44" s="50"/>
      <c r="AU44" s="50"/>
      <c r="AV44" s="50"/>
      <c r="AW44" s="72"/>
      <c r="AX44" s="50"/>
      <c r="AY44" s="50"/>
      <c r="AZ44" s="50"/>
      <c r="BA44" s="50"/>
      <c r="BB44" s="50"/>
      <c r="BC44" s="88"/>
      <c r="BF44" s="76"/>
      <c r="BG44" s="61"/>
      <c r="BH44" s="61"/>
      <c r="BI44" s="61"/>
      <c r="BJ44" s="76"/>
      <c r="BK44" s="76"/>
      <c r="BL44" s="77"/>
      <c r="BM44" s="80"/>
      <c r="BN44" s="77"/>
    </row>
    <row r="45" spans="1:66" s="77" customFormat="1" thickTop="1" thickBot="1" x14ac:dyDescent="0.25">
      <c r="A45" s="75">
        <v>887</v>
      </c>
      <c r="B45" s="75" t="s">
        <v>126</v>
      </c>
      <c r="C45" s="75"/>
      <c r="D45" s="75" t="s">
        <v>95</v>
      </c>
      <c r="E45" s="118" t="s">
        <v>127</v>
      </c>
      <c r="F45" s="105" t="s">
        <v>106</v>
      </c>
      <c r="G45" s="105" t="s">
        <v>107</v>
      </c>
      <c r="H45" s="105" t="s">
        <v>108</v>
      </c>
      <c r="I45" s="105" t="s">
        <v>18</v>
      </c>
      <c r="J45" s="75" t="s">
        <v>98</v>
      </c>
      <c r="K45" s="75"/>
      <c r="L45" s="75" t="s">
        <v>128</v>
      </c>
      <c r="M45" s="68" t="s">
        <v>174</v>
      </c>
      <c r="N45" s="68" t="s">
        <v>183</v>
      </c>
      <c r="O45" s="75" t="s">
        <v>15</v>
      </c>
      <c r="P45" s="75">
        <v>7</v>
      </c>
      <c r="Q45" s="75" t="s">
        <v>110</v>
      </c>
      <c r="R45" s="75" t="s">
        <v>16</v>
      </c>
      <c r="S45" s="75"/>
      <c r="T45" s="75">
        <v>0.51</v>
      </c>
      <c r="U45" s="75" t="s">
        <v>67</v>
      </c>
      <c r="V45" s="75">
        <f>VLOOKUP(U45,'Conversion tables'!$M$5:$O$8,3,FALSE)</f>
        <v>1</v>
      </c>
      <c r="W45" s="75">
        <f t="shared" ref="W45:W56" si="18">V45*T45</f>
        <v>0.51</v>
      </c>
      <c r="X45"/>
      <c r="Y45" s="75" t="str">
        <f t="shared" ref="Y45:Y51" si="19">O45</f>
        <v>EC50</v>
      </c>
      <c r="Z45" s="118">
        <f>VLOOKUP(Y45,'Conversion tables'!$C$5:$E$19,2,FALSE)</f>
        <v>5</v>
      </c>
      <c r="AA45" s="86">
        <f t="shared" ref="AA45:AA56" si="20">W45/Z45</f>
        <v>0.10200000000000001</v>
      </c>
      <c r="AB45" s="86" t="str">
        <f t="shared" ref="AB45:AB56" si="21">R45</f>
        <v>Chronic</v>
      </c>
      <c r="AC45" s="86">
        <f>VLOOKUP(AB45,'Conversion tables'!$C$22:$E$23,2,FALSE)</f>
        <v>1</v>
      </c>
      <c r="AD45" s="86">
        <f t="shared" ref="AD45:AD56" si="22">AA45/AC45</f>
        <v>0.10200000000000001</v>
      </c>
      <c r="AE45" s="50"/>
      <c r="AF45" s="81" t="str">
        <f>E45</f>
        <v>Lemna minor</v>
      </c>
      <c r="AG45" s="81" t="str">
        <f t="shared" ref="AG45:AG57" si="23">O45</f>
        <v>EC50</v>
      </c>
      <c r="AH45" s="81" t="str">
        <f t="shared" ref="AH45:AH57" si="24">R45</f>
        <v>Chronic</v>
      </c>
      <c r="AI45" s="81">
        <f>VLOOKUP(SUM(Z45,AC45),'Conversion tables'!$J$5:$K$11,2,FALSE)</f>
        <v>2</v>
      </c>
      <c r="AJ45" s="81" t="str">
        <f>IF(AI45=MIN($AI$45:$AI$70),"YES!!!","Reject")</f>
        <v>Reject</v>
      </c>
      <c r="AK45" s="6"/>
      <c r="AL45" s="81"/>
      <c r="AM45" s="81"/>
      <c r="AN45" s="81"/>
      <c r="AO45" s="2"/>
      <c r="AP45" s="8"/>
      <c r="AQ45" s="6"/>
      <c r="AR45" s="6"/>
      <c r="AS45" s="6"/>
      <c r="AT45" s="6"/>
      <c r="AU45" s="6"/>
      <c r="AV45" s="6"/>
      <c r="AW45" s="80"/>
      <c r="AX45" s="6"/>
      <c r="AY45" s="6"/>
      <c r="AZ45" s="6"/>
      <c r="BA45" s="6"/>
      <c r="BB45" s="6"/>
      <c r="BC45" s="6"/>
      <c r="BD45" s="89"/>
      <c r="BE45" s="89"/>
      <c r="BF45" s="76"/>
      <c r="BG45" s="61"/>
      <c r="BH45" s="61"/>
      <c r="BI45" s="61"/>
      <c r="BJ45" s="76"/>
      <c r="BK45" s="76"/>
      <c r="BM45" s="80"/>
    </row>
    <row r="46" spans="1:66" s="77" customFormat="1" thickTop="1" thickBot="1" x14ac:dyDescent="0.25">
      <c r="A46" s="75">
        <v>874</v>
      </c>
      <c r="B46" s="75" t="s">
        <v>129</v>
      </c>
      <c r="C46" s="75"/>
      <c r="D46" s="75" t="s">
        <v>95</v>
      </c>
      <c r="E46" s="118" t="s">
        <v>127</v>
      </c>
      <c r="F46" s="105" t="s">
        <v>106</v>
      </c>
      <c r="G46" s="105" t="s">
        <v>107</v>
      </c>
      <c r="H46" s="105" t="s">
        <v>108</v>
      </c>
      <c r="I46" s="105" t="s">
        <v>18</v>
      </c>
      <c r="J46" s="75" t="s">
        <v>98</v>
      </c>
      <c r="K46" s="75"/>
      <c r="L46" s="75" t="s">
        <v>130</v>
      </c>
      <c r="M46" s="68" t="s">
        <v>174</v>
      </c>
      <c r="N46" s="68" t="s">
        <v>183</v>
      </c>
      <c r="O46" s="75" t="s">
        <v>25</v>
      </c>
      <c r="P46" s="75">
        <v>7</v>
      </c>
      <c r="Q46" s="75" t="s">
        <v>110</v>
      </c>
      <c r="R46" s="75" t="s">
        <v>16</v>
      </c>
      <c r="S46" s="75"/>
      <c r="T46" s="75">
        <v>0.37</v>
      </c>
      <c r="U46" s="75" t="s">
        <v>67</v>
      </c>
      <c r="V46" s="75">
        <f>VLOOKUP(U46,'Conversion tables'!$M$5:$O$8,3,FALSE)</f>
        <v>1</v>
      </c>
      <c r="W46" s="75">
        <f t="shared" si="18"/>
        <v>0.37</v>
      </c>
      <c r="X46"/>
      <c r="Y46" s="75" t="str">
        <f t="shared" si="19"/>
        <v>EC10</v>
      </c>
      <c r="Z46" s="118">
        <f>VLOOKUP(Y46,'Conversion tables'!$C$5:$E$19,2,FALSE)</f>
        <v>1</v>
      </c>
      <c r="AA46" s="86">
        <f t="shared" si="20"/>
        <v>0.37</v>
      </c>
      <c r="AB46" s="86" t="str">
        <f t="shared" si="21"/>
        <v>Chronic</v>
      </c>
      <c r="AC46" s="86">
        <f>VLOOKUP(AB46,'Conversion tables'!$C$22:$E$23,2,FALSE)</f>
        <v>1</v>
      </c>
      <c r="AD46" s="86">
        <f t="shared" si="22"/>
        <v>0.37</v>
      </c>
      <c r="AE46" s="50"/>
      <c r="AF46" s="81" t="str">
        <f>E46</f>
        <v>Lemna minor</v>
      </c>
      <c r="AG46" s="81" t="str">
        <f t="shared" si="23"/>
        <v>EC10</v>
      </c>
      <c r="AH46" s="81" t="str">
        <f t="shared" si="24"/>
        <v>Chronic</v>
      </c>
      <c r="AI46" s="81">
        <f>VLOOKUP(SUM(Z46,AC46),'Conversion tables'!$J$5:$K$11,2,FALSE)</f>
        <v>1</v>
      </c>
      <c r="AJ46" s="81" t="str">
        <f t="shared" ref="AJ46:AJ70" si="25">IF(AI46=MIN($AI$45:$AI$70),"YES!!!","Reject")</f>
        <v>YES!!!</v>
      </c>
      <c r="AK46" s="80" t="str">
        <f>N46</f>
        <v>Frond Area</v>
      </c>
      <c r="AL46" s="81" t="s">
        <v>185</v>
      </c>
      <c r="AM46" s="81" t="str">
        <f>CONCATENATE(P46," ",Q46)</f>
        <v>7 Days</v>
      </c>
      <c r="AN46" s="81" t="s">
        <v>187</v>
      </c>
      <c r="AO46" s="2"/>
      <c r="AP46" s="81">
        <f>AD46</f>
        <v>0.37</v>
      </c>
      <c r="AQ46" s="80">
        <f>GEOMEAN(AP46,AP61:AP64)</f>
        <v>0.32397006753783647</v>
      </c>
      <c r="AR46" s="86">
        <f>MIN(AQ46)</f>
        <v>0.32397006753783647</v>
      </c>
      <c r="AS46" s="118">
        <f>MIN(AR46:AR56)</f>
        <v>0.1</v>
      </c>
      <c r="AT46" s="147" t="s">
        <v>290</v>
      </c>
      <c r="AU46" s="6"/>
      <c r="AV46" s="6"/>
      <c r="AW46" s="142" t="str">
        <f>H46</f>
        <v>Macrophyte</v>
      </c>
      <c r="AX46" s="142" t="str">
        <f>E46</f>
        <v>Lemna minor</v>
      </c>
      <c r="AY46" s="142" t="str">
        <f>F46</f>
        <v>Tracheophyta</v>
      </c>
      <c r="AZ46" s="142" t="str">
        <f>G46</f>
        <v>Liliopsida</v>
      </c>
      <c r="BA46" s="142" t="str">
        <f>I46</f>
        <v>Phototroph</v>
      </c>
      <c r="BB46" s="142">
        <f>AI46</f>
        <v>1</v>
      </c>
      <c r="BC46" s="77">
        <f>AS46</f>
        <v>0.1</v>
      </c>
      <c r="BD46" s="147" t="s">
        <v>290</v>
      </c>
      <c r="BE46" s="89"/>
      <c r="BF46" s="76"/>
      <c r="BG46" s="61"/>
      <c r="BH46" s="61"/>
      <c r="BI46" s="61"/>
      <c r="BJ46" s="76"/>
      <c r="BK46" s="76"/>
      <c r="BM46" s="80"/>
    </row>
    <row r="47" spans="1:66" s="77" customFormat="1" thickTop="1" thickBot="1" x14ac:dyDescent="0.25">
      <c r="A47" s="75">
        <v>874</v>
      </c>
      <c r="B47" s="75" t="s">
        <v>131</v>
      </c>
      <c r="C47" s="75"/>
      <c r="D47" s="75" t="s">
        <v>95</v>
      </c>
      <c r="E47" s="118" t="s">
        <v>127</v>
      </c>
      <c r="F47" s="105" t="s">
        <v>106</v>
      </c>
      <c r="G47" s="105" t="s">
        <v>107</v>
      </c>
      <c r="H47" s="105" t="s">
        <v>108</v>
      </c>
      <c r="I47" s="105" t="s">
        <v>18</v>
      </c>
      <c r="J47" s="75" t="s">
        <v>98</v>
      </c>
      <c r="K47" s="75"/>
      <c r="L47" s="75" t="s">
        <v>130</v>
      </c>
      <c r="M47" s="68" t="s">
        <v>174</v>
      </c>
      <c r="N47" s="68" t="s">
        <v>183</v>
      </c>
      <c r="O47" s="75" t="s">
        <v>15</v>
      </c>
      <c r="P47" s="75">
        <v>7</v>
      </c>
      <c r="Q47" s="75" t="s">
        <v>110</v>
      </c>
      <c r="R47" s="75" t="s">
        <v>16</v>
      </c>
      <c r="S47" s="75"/>
      <c r="T47" s="75">
        <v>0.79</v>
      </c>
      <c r="U47" s="75" t="s">
        <v>67</v>
      </c>
      <c r="V47" s="75">
        <f>VLOOKUP(U47,'Conversion tables'!$M$5:$O$8,3,FALSE)</f>
        <v>1</v>
      </c>
      <c r="W47" s="75">
        <f t="shared" si="18"/>
        <v>0.79</v>
      </c>
      <c r="X47"/>
      <c r="Y47" s="75" t="str">
        <f t="shared" si="19"/>
        <v>EC50</v>
      </c>
      <c r="Z47" s="118">
        <f>VLOOKUP(Y47,'Conversion tables'!$C$5:$E$19,2,FALSE)</f>
        <v>5</v>
      </c>
      <c r="AA47" s="86">
        <f t="shared" si="20"/>
        <v>0.158</v>
      </c>
      <c r="AB47" s="86" t="str">
        <f t="shared" si="21"/>
        <v>Chronic</v>
      </c>
      <c r="AC47" s="86">
        <f>VLOOKUP(AB47,'Conversion tables'!$C$22:$E$23,2,FALSE)</f>
        <v>1</v>
      </c>
      <c r="AD47" s="86">
        <f t="shared" si="22"/>
        <v>0.158</v>
      </c>
      <c r="AE47" s="50"/>
      <c r="AF47" s="81" t="str">
        <f>E47</f>
        <v>Lemna minor</v>
      </c>
      <c r="AG47" s="81" t="str">
        <f t="shared" si="23"/>
        <v>EC50</v>
      </c>
      <c r="AH47" s="81" t="str">
        <f t="shared" si="24"/>
        <v>Chronic</v>
      </c>
      <c r="AI47" s="81">
        <f>VLOOKUP(SUM(Z47,AC47),'Conversion tables'!$J$5:$K$11,2,FALSE)</f>
        <v>2</v>
      </c>
      <c r="AJ47" s="81" t="str">
        <f t="shared" si="25"/>
        <v>Reject</v>
      </c>
      <c r="AK47" s="6"/>
      <c r="AL47" s="81"/>
      <c r="AM47" s="81"/>
      <c r="AN47" s="81"/>
      <c r="AO47" s="2"/>
      <c r="AP47" s="8"/>
      <c r="AQ47" s="6"/>
      <c r="AR47" s="6"/>
      <c r="AS47" s="6"/>
      <c r="AT47" s="6"/>
      <c r="AU47" s="6"/>
      <c r="AV47" s="6"/>
      <c r="BD47" s="89"/>
      <c r="BE47" s="89"/>
      <c r="BF47" s="89"/>
      <c r="BG47" s="61"/>
      <c r="BH47" s="61"/>
      <c r="BI47" s="61"/>
      <c r="BJ47" s="89"/>
      <c r="BK47" s="89"/>
      <c r="BL47" s="89"/>
      <c r="BM47" s="89"/>
    </row>
    <row r="48" spans="1:66" s="77" customFormat="1" thickTop="1" thickBot="1" x14ac:dyDescent="0.25">
      <c r="A48" s="75">
        <v>2381</v>
      </c>
      <c r="B48" s="75">
        <v>2016066</v>
      </c>
      <c r="C48" s="75"/>
      <c r="D48" s="75" t="s">
        <v>95</v>
      </c>
      <c r="E48" s="118" t="s">
        <v>127</v>
      </c>
      <c r="F48" s="105" t="s">
        <v>106</v>
      </c>
      <c r="G48" s="105" t="s">
        <v>107</v>
      </c>
      <c r="H48" s="105" t="s">
        <v>108</v>
      </c>
      <c r="I48" s="105" t="s">
        <v>18</v>
      </c>
      <c r="J48" s="75" t="s">
        <v>98</v>
      </c>
      <c r="K48" s="75"/>
      <c r="L48" s="75" t="s">
        <v>162</v>
      </c>
      <c r="M48" s="68" t="s">
        <v>242</v>
      </c>
      <c r="N48" s="68" t="s">
        <v>243</v>
      </c>
      <c r="O48" s="75" t="s">
        <v>15</v>
      </c>
      <c r="P48" s="75">
        <v>14</v>
      </c>
      <c r="Q48" s="75" t="s">
        <v>110</v>
      </c>
      <c r="R48" s="75" t="s">
        <v>16</v>
      </c>
      <c r="S48" s="75"/>
      <c r="T48" s="75">
        <v>0.36</v>
      </c>
      <c r="U48" s="75" t="s">
        <v>159</v>
      </c>
      <c r="V48" s="75">
        <f>VLOOKUP(U48,'Conversion tables'!$M$5:$O$8,3,FALSE)</f>
        <v>1</v>
      </c>
      <c r="W48" s="75">
        <f t="shared" si="18"/>
        <v>0.36</v>
      </c>
      <c r="X48"/>
      <c r="Y48" s="75" t="str">
        <f t="shared" si="19"/>
        <v>EC50</v>
      </c>
      <c r="Z48" s="118">
        <f>VLOOKUP(Y48,'Conversion tables'!$C$5:$E$19,2,FALSE)</f>
        <v>5</v>
      </c>
      <c r="AA48" s="86">
        <f t="shared" si="20"/>
        <v>7.1999999999999995E-2</v>
      </c>
      <c r="AB48" s="86" t="str">
        <f t="shared" si="21"/>
        <v>Chronic</v>
      </c>
      <c r="AC48" s="86">
        <f>VLOOKUP(AB48,'Conversion tables'!$C$22:$E$23,2,FALSE)</f>
        <v>1</v>
      </c>
      <c r="AD48" s="86">
        <f t="shared" si="22"/>
        <v>7.1999999999999995E-2</v>
      </c>
      <c r="AE48" s="50"/>
      <c r="AF48" s="81" t="str">
        <f t="shared" ref="AF48:AF56" si="26">E48</f>
        <v>Lemna minor</v>
      </c>
      <c r="AG48" s="81" t="str">
        <f t="shared" si="23"/>
        <v>EC50</v>
      </c>
      <c r="AH48" s="81" t="str">
        <f t="shared" si="24"/>
        <v>Chronic</v>
      </c>
      <c r="AI48" s="81">
        <f>VLOOKUP(SUM(Z48,AC48),'Conversion tables'!$J$5:$K$11,2,FALSE)</f>
        <v>2</v>
      </c>
      <c r="AJ48" s="81" t="str">
        <f t="shared" si="25"/>
        <v>Reject</v>
      </c>
      <c r="AK48" s="6"/>
      <c r="AL48" s="81"/>
      <c r="AM48" s="81"/>
      <c r="AN48" s="81"/>
      <c r="AO48" s="2"/>
      <c r="AP48" s="8"/>
      <c r="AQ48" s="6"/>
      <c r="AR48" s="6"/>
      <c r="AS48" s="6"/>
      <c r="AT48" s="6"/>
      <c r="AU48" s="6"/>
      <c r="AV48" s="6"/>
      <c r="AW48" s="80"/>
      <c r="AX48" s="6"/>
      <c r="AY48" s="6"/>
      <c r="AZ48" s="6"/>
      <c r="BA48" s="6"/>
      <c r="BB48" s="6"/>
      <c r="BC48" s="6"/>
      <c r="BD48" s="89"/>
      <c r="BE48" s="89"/>
      <c r="BF48" s="89"/>
      <c r="BG48" s="61"/>
      <c r="BH48" s="61"/>
      <c r="BI48" s="61"/>
      <c r="BJ48" s="89"/>
      <c r="BK48" s="89"/>
      <c r="BL48" s="89"/>
      <c r="BM48" s="89"/>
    </row>
    <row r="49" spans="1:65" s="77" customFormat="1" thickTop="1" thickBot="1" x14ac:dyDescent="0.25">
      <c r="A49" s="118">
        <v>2381</v>
      </c>
      <c r="B49" s="118">
        <v>2016066</v>
      </c>
      <c r="C49" s="118"/>
      <c r="D49" s="118" t="s">
        <v>95</v>
      </c>
      <c r="E49" s="118" t="s">
        <v>127</v>
      </c>
      <c r="F49" s="118" t="s">
        <v>106</v>
      </c>
      <c r="G49" s="118" t="s">
        <v>107</v>
      </c>
      <c r="H49" s="118" t="s">
        <v>108</v>
      </c>
      <c r="I49" s="118" t="s">
        <v>18</v>
      </c>
      <c r="J49" s="118" t="s">
        <v>98</v>
      </c>
      <c r="K49" s="118"/>
      <c r="L49" s="118" t="s">
        <v>162</v>
      </c>
      <c r="M49" s="68" t="s">
        <v>242</v>
      </c>
      <c r="N49" s="68" t="s">
        <v>243</v>
      </c>
      <c r="O49" s="118" t="s">
        <v>247</v>
      </c>
      <c r="P49" s="118">
        <v>14</v>
      </c>
      <c r="Q49" s="118" t="s">
        <v>110</v>
      </c>
      <c r="R49" s="118" t="s">
        <v>16</v>
      </c>
      <c r="S49" s="118"/>
      <c r="T49" s="118">
        <v>0.16</v>
      </c>
      <c r="U49" s="118" t="s">
        <v>159</v>
      </c>
      <c r="V49" s="118">
        <f>VLOOKUP(U49,'Conversion tables'!$M$5:$O$8,3,FALSE)</f>
        <v>1</v>
      </c>
      <c r="W49" s="118">
        <f t="shared" si="18"/>
        <v>0.16</v>
      </c>
      <c r="X49" s="76"/>
      <c r="Y49" s="118" t="str">
        <f>O49</f>
        <v>NOEL</v>
      </c>
      <c r="Z49" s="118">
        <f>VLOOKUP(Y49,'Conversion tables'!$C$5:$E$19,2,FALSE)</f>
        <v>1</v>
      </c>
      <c r="AA49" s="118">
        <f t="shared" si="20"/>
        <v>0.16</v>
      </c>
      <c r="AB49" s="118" t="str">
        <f t="shared" si="21"/>
        <v>Chronic</v>
      </c>
      <c r="AC49" s="118">
        <f>VLOOKUP(AB49,'Conversion tables'!$C$22:$E$23,2,FALSE)</f>
        <v>1</v>
      </c>
      <c r="AD49" s="118">
        <f t="shared" si="22"/>
        <v>0.16</v>
      </c>
      <c r="AE49" s="72"/>
      <c r="AF49" s="81" t="str">
        <f>E49</f>
        <v>Lemna minor</v>
      </c>
      <c r="AG49" s="81" t="str">
        <f t="shared" si="23"/>
        <v>NOEL</v>
      </c>
      <c r="AH49" s="81" t="str">
        <f t="shared" si="24"/>
        <v>Chronic</v>
      </c>
      <c r="AI49" s="81">
        <f>VLOOKUP(SUM(Z49,AC49),'Conversion tables'!$J$5:$K$11,2,FALSE)</f>
        <v>1</v>
      </c>
      <c r="AJ49" s="81" t="str">
        <f t="shared" si="25"/>
        <v>YES!!!</v>
      </c>
      <c r="AK49" s="80" t="str">
        <f>N49</f>
        <v>Total Frond Number, Growth Rate, Mortality</v>
      </c>
      <c r="AL49" s="81" t="s">
        <v>186</v>
      </c>
      <c r="AM49" s="81" t="str">
        <f>CONCATENATE(P49," ",Q49)</f>
        <v>14 Days</v>
      </c>
      <c r="AN49" s="81" t="s">
        <v>188</v>
      </c>
      <c r="AP49" s="81">
        <f>AD49</f>
        <v>0.16</v>
      </c>
      <c r="AQ49" s="80">
        <f>GEOMEAN(AP49)</f>
        <v>0.16</v>
      </c>
      <c r="AR49" s="118">
        <f>MIN(AQ49)</f>
        <v>0.16</v>
      </c>
      <c r="AS49" s="80"/>
      <c r="AT49" s="80"/>
      <c r="AU49" s="80"/>
      <c r="AV49" s="80"/>
      <c r="AW49" s="80"/>
      <c r="AX49" s="80"/>
      <c r="AY49" s="80"/>
      <c r="AZ49" s="80"/>
      <c r="BA49" s="80"/>
      <c r="BB49" s="80"/>
      <c r="BC49" s="80"/>
      <c r="BD49" s="89"/>
      <c r="BE49" s="89"/>
      <c r="BF49" s="89"/>
      <c r="BG49" s="61"/>
      <c r="BH49" s="61"/>
      <c r="BI49" s="61"/>
      <c r="BJ49" s="89"/>
      <c r="BK49" s="89"/>
      <c r="BL49" s="89"/>
      <c r="BM49" s="89"/>
    </row>
    <row r="50" spans="1:65" s="77" customFormat="1" thickTop="1" thickBot="1" x14ac:dyDescent="0.25">
      <c r="A50" s="86" t="s">
        <v>201</v>
      </c>
      <c r="B50" s="86" t="s">
        <v>198</v>
      </c>
      <c r="C50" s="86"/>
      <c r="D50" s="86" t="s">
        <v>95</v>
      </c>
      <c r="E50" s="118" t="s">
        <v>127</v>
      </c>
      <c r="F50" s="105" t="s">
        <v>106</v>
      </c>
      <c r="G50" s="105" t="s">
        <v>107</v>
      </c>
      <c r="H50" s="105" t="s">
        <v>108</v>
      </c>
      <c r="I50" s="105" t="s">
        <v>18</v>
      </c>
      <c r="J50" s="86" t="s">
        <v>98</v>
      </c>
      <c r="K50" s="86"/>
      <c r="L50" s="86" t="s">
        <v>200</v>
      </c>
      <c r="M50" s="68" t="s">
        <v>178</v>
      </c>
      <c r="N50" s="68" t="s">
        <v>236</v>
      </c>
      <c r="O50" s="86" t="s">
        <v>15</v>
      </c>
      <c r="P50" s="86">
        <v>14</v>
      </c>
      <c r="Q50" s="86" t="s">
        <v>110</v>
      </c>
      <c r="R50" s="86" t="s">
        <v>16</v>
      </c>
      <c r="S50" s="86"/>
      <c r="T50" s="86">
        <v>0.8</v>
      </c>
      <c r="U50" s="86" t="s">
        <v>67</v>
      </c>
      <c r="V50" s="86">
        <f>VLOOKUP(U50,'Conversion tables'!$M$5:$O$8,3,FALSE)</f>
        <v>1</v>
      </c>
      <c r="W50" s="86">
        <f t="shared" si="18"/>
        <v>0.8</v>
      </c>
      <c r="X50" s="76"/>
      <c r="Y50" s="86" t="str">
        <f t="shared" si="19"/>
        <v>EC50</v>
      </c>
      <c r="Z50" s="118">
        <f>VLOOKUP(Y50,'Conversion tables'!$C$5:$E$19,2,FALSE)</f>
        <v>5</v>
      </c>
      <c r="AA50" s="86">
        <f t="shared" si="20"/>
        <v>0.16</v>
      </c>
      <c r="AB50" s="86" t="str">
        <f t="shared" si="21"/>
        <v>Chronic</v>
      </c>
      <c r="AC50" s="86">
        <f>VLOOKUP(AB50,'Conversion tables'!$C$22:$E$23,2,FALSE)</f>
        <v>1</v>
      </c>
      <c r="AD50" s="86">
        <f t="shared" si="22"/>
        <v>0.16</v>
      </c>
      <c r="AE50" s="72"/>
      <c r="AF50" s="81" t="str">
        <f t="shared" si="26"/>
        <v>Lemna minor</v>
      </c>
      <c r="AG50" s="81" t="str">
        <f t="shared" si="23"/>
        <v>EC50</v>
      </c>
      <c r="AH50" s="81" t="str">
        <f t="shared" si="24"/>
        <v>Chronic</v>
      </c>
      <c r="AI50" s="81">
        <f>VLOOKUP(SUM(Z50,AC50),'Conversion tables'!$J$5:$K$11,2,FALSE)</f>
        <v>2</v>
      </c>
      <c r="AJ50" s="81" t="str">
        <f t="shared" si="25"/>
        <v>Reject</v>
      </c>
      <c r="AK50" s="80"/>
      <c r="AL50" s="81"/>
      <c r="AM50" s="81"/>
      <c r="AN50" s="81"/>
      <c r="AP50" s="81"/>
      <c r="AQ50" s="80"/>
      <c r="AR50" s="80"/>
      <c r="AS50" s="80"/>
      <c r="AT50" s="80"/>
      <c r="AU50" s="80"/>
      <c r="AV50" s="80"/>
      <c r="AW50" s="80"/>
      <c r="AX50" s="80"/>
      <c r="AY50" s="80"/>
      <c r="AZ50" s="80"/>
      <c r="BA50" s="80"/>
      <c r="BB50" s="80"/>
      <c r="BC50" s="80"/>
      <c r="BD50" s="89"/>
      <c r="BE50" s="89"/>
      <c r="BF50" s="89"/>
      <c r="BG50" s="61"/>
      <c r="BH50" s="61"/>
      <c r="BI50" s="61"/>
      <c r="BJ50" s="89"/>
      <c r="BK50" s="89"/>
      <c r="BL50" s="89"/>
      <c r="BM50" s="89"/>
    </row>
    <row r="51" spans="1:65" s="77" customFormat="1" thickTop="1" thickBot="1" x14ac:dyDescent="0.25">
      <c r="A51" s="86" t="s">
        <v>201</v>
      </c>
      <c r="B51" s="86" t="s">
        <v>202</v>
      </c>
      <c r="C51" s="86"/>
      <c r="D51" s="86" t="s">
        <v>95</v>
      </c>
      <c r="E51" s="118" t="s">
        <v>127</v>
      </c>
      <c r="F51" s="105" t="s">
        <v>106</v>
      </c>
      <c r="G51" s="105" t="s">
        <v>107</v>
      </c>
      <c r="H51" s="105" t="s">
        <v>108</v>
      </c>
      <c r="I51" s="105" t="s">
        <v>18</v>
      </c>
      <c r="J51" s="86" t="s">
        <v>98</v>
      </c>
      <c r="K51" s="86"/>
      <c r="L51" s="86" t="s">
        <v>200</v>
      </c>
      <c r="M51" s="68" t="s">
        <v>178</v>
      </c>
      <c r="N51" s="68" t="s">
        <v>236</v>
      </c>
      <c r="O51" s="86" t="s">
        <v>15</v>
      </c>
      <c r="P51" s="86">
        <v>14</v>
      </c>
      <c r="Q51" s="86" t="s">
        <v>110</v>
      </c>
      <c r="R51" s="86" t="s">
        <v>16</v>
      </c>
      <c r="S51" s="86"/>
      <c r="T51" s="86">
        <v>1.1299999999999999</v>
      </c>
      <c r="U51" s="86" t="s">
        <v>67</v>
      </c>
      <c r="V51" s="86">
        <f>VLOOKUP(U51,'Conversion tables'!$M$5:$O$8,3,FALSE)</f>
        <v>1</v>
      </c>
      <c r="W51" s="86">
        <f t="shared" si="18"/>
        <v>1.1299999999999999</v>
      </c>
      <c r="X51" s="76"/>
      <c r="Y51" s="86" t="str">
        <f t="shared" si="19"/>
        <v>EC50</v>
      </c>
      <c r="Z51" s="118">
        <f>VLOOKUP(Y51,'Conversion tables'!$C$5:$E$19,2,FALSE)</f>
        <v>5</v>
      </c>
      <c r="AA51" s="86">
        <f t="shared" si="20"/>
        <v>0.22599999999999998</v>
      </c>
      <c r="AB51" s="86" t="str">
        <f t="shared" si="21"/>
        <v>Chronic</v>
      </c>
      <c r="AC51" s="86">
        <f>VLOOKUP(AB51,'Conversion tables'!$C$22:$E$23,2,FALSE)</f>
        <v>1</v>
      </c>
      <c r="AD51" s="86">
        <f t="shared" si="22"/>
        <v>0.22599999999999998</v>
      </c>
      <c r="AE51" s="72"/>
      <c r="AF51" s="81" t="str">
        <f t="shared" si="26"/>
        <v>Lemna minor</v>
      </c>
      <c r="AG51" s="81" t="str">
        <f t="shared" si="23"/>
        <v>EC50</v>
      </c>
      <c r="AH51" s="81" t="str">
        <f t="shared" si="24"/>
        <v>Chronic</v>
      </c>
      <c r="AI51" s="81">
        <f>VLOOKUP(SUM(Z51,AC51),'Conversion tables'!$J$5:$K$11,2,FALSE)</f>
        <v>2</v>
      </c>
      <c r="AJ51" s="81" t="str">
        <f t="shared" si="25"/>
        <v>Reject</v>
      </c>
      <c r="AK51" s="80"/>
      <c r="AL51" s="81"/>
      <c r="AM51" s="81"/>
      <c r="AN51" s="81"/>
      <c r="AP51" s="81"/>
      <c r="AQ51" s="80"/>
      <c r="AR51" s="80"/>
      <c r="AS51" s="80"/>
      <c r="AT51" s="80"/>
      <c r="AU51" s="80"/>
      <c r="AV51" s="80"/>
      <c r="AW51" s="80"/>
      <c r="AX51" s="80"/>
      <c r="AY51" s="80"/>
      <c r="AZ51" s="80"/>
      <c r="BA51" s="80"/>
      <c r="BB51" s="80"/>
      <c r="BD51" s="89"/>
      <c r="BE51" s="89"/>
      <c r="BF51" s="89"/>
      <c r="BG51" s="61"/>
      <c r="BH51" s="61"/>
      <c r="BI51" s="61"/>
      <c r="BJ51" s="89"/>
      <c r="BK51" s="89"/>
      <c r="BL51" s="89"/>
      <c r="BM51" s="89"/>
    </row>
    <row r="52" spans="1:65" s="77" customFormat="1" thickTop="1" thickBot="1" x14ac:dyDescent="0.25">
      <c r="A52" s="75">
        <v>928</v>
      </c>
      <c r="B52" s="75" t="s">
        <v>121</v>
      </c>
      <c r="C52" s="75"/>
      <c r="D52" s="75" t="s">
        <v>95</v>
      </c>
      <c r="E52" s="118" t="s">
        <v>127</v>
      </c>
      <c r="F52" s="105" t="s">
        <v>106</v>
      </c>
      <c r="G52" s="105" t="s">
        <v>107</v>
      </c>
      <c r="H52" s="105" t="s">
        <v>108</v>
      </c>
      <c r="I52" s="105" t="s">
        <v>18</v>
      </c>
      <c r="J52" s="75" t="s">
        <v>53</v>
      </c>
      <c r="K52" s="75"/>
      <c r="L52" s="75" t="s">
        <v>122</v>
      </c>
      <c r="M52" s="68" t="s">
        <v>174</v>
      </c>
      <c r="N52" s="68" t="s">
        <v>239</v>
      </c>
      <c r="O52" s="75" t="s">
        <v>15</v>
      </c>
      <c r="P52" s="75">
        <v>42</v>
      </c>
      <c r="Q52" s="75" t="s">
        <v>110</v>
      </c>
      <c r="R52" s="75" t="s">
        <v>16</v>
      </c>
      <c r="S52" s="75"/>
      <c r="T52" s="75">
        <v>0.99</v>
      </c>
      <c r="U52" s="75" t="s">
        <v>67</v>
      </c>
      <c r="V52" s="75">
        <f>VLOOKUP(U52,'Conversion tables'!$M$5:$O$8,3,FALSE)</f>
        <v>1</v>
      </c>
      <c r="W52" s="75">
        <f t="shared" si="18"/>
        <v>0.99</v>
      </c>
      <c r="X52"/>
      <c r="Y52" s="75" t="str">
        <f>O52</f>
        <v>EC50</v>
      </c>
      <c r="Z52" s="118">
        <f>VLOOKUP(Y52,'Conversion tables'!$C$5:$E$19,2,FALSE)</f>
        <v>5</v>
      </c>
      <c r="AA52" s="86">
        <f t="shared" si="20"/>
        <v>0.19800000000000001</v>
      </c>
      <c r="AB52" s="86" t="str">
        <f t="shared" si="21"/>
        <v>Chronic</v>
      </c>
      <c r="AC52" s="86">
        <f>VLOOKUP(AB52,'Conversion tables'!$C$22:$E$23,2,FALSE)</f>
        <v>1</v>
      </c>
      <c r="AD52" s="86">
        <f t="shared" si="22"/>
        <v>0.19800000000000001</v>
      </c>
      <c r="AE52" s="50"/>
      <c r="AF52" s="81" t="str">
        <f t="shared" si="26"/>
        <v>Lemna minor</v>
      </c>
      <c r="AG52" s="81" t="str">
        <f t="shared" si="23"/>
        <v>EC50</v>
      </c>
      <c r="AH52" s="81" t="str">
        <f t="shared" si="24"/>
        <v>Chronic</v>
      </c>
      <c r="AI52" s="81">
        <f>VLOOKUP(SUM(Z52,AC52),'Conversion tables'!$J$5:$K$11,2,FALSE)</f>
        <v>2</v>
      </c>
      <c r="AJ52" s="81" t="str">
        <f t="shared" si="25"/>
        <v>Reject</v>
      </c>
      <c r="AK52" s="6"/>
      <c r="AL52" s="81"/>
      <c r="AM52" s="81"/>
      <c r="AN52" s="81"/>
      <c r="AO52" s="2"/>
      <c r="AP52" s="8"/>
      <c r="AQ52" s="6"/>
      <c r="AR52" s="86"/>
      <c r="AS52" s="6"/>
      <c r="AT52" s="6"/>
      <c r="AU52" s="6"/>
      <c r="AV52" s="6"/>
      <c r="AW52" s="80"/>
      <c r="AX52" s="6"/>
      <c r="AY52" s="6"/>
      <c r="AZ52" s="6"/>
      <c r="BA52" s="6"/>
      <c r="BB52" s="6"/>
      <c r="BC52"/>
      <c r="BD52" s="89"/>
      <c r="BE52" s="89"/>
      <c r="BF52" s="76"/>
      <c r="BG52" s="61"/>
      <c r="BH52" s="61"/>
      <c r="BI52" s="61"/>
      <c r="BJ52" s="76"/>
      <c r="BK52" s="76"/>
      <c r="BL52" s="76"/>
      <c r="BM52" s="76"/>
    </row>
    <row r="53" spans="1:65" s="77" customFormat="1" thickTop="1" thickBot="1" x14ac:dyDescent="0.25">
      <c r="A53" s="75">
        <v>928</v>
      </c>
      <c r="B53" s="75" t="s">
        <v>123</v>
      </c>
      <c r="C53" s="75"/>
      <c r="D53" s="75" t="s">
        <v>95</v>
      </c>
      <c r="E53" s="118" t="s">
        <v>127</v>
      </c>
      <c r="F53" s="105" t="s">
        <v>106</v>
      </c>
      <c r="G53" s="105" t="s">
        <v>107</v>
      </c>
      <c r="H53" s="105" t="s">
        <v>108</v>
      </c>
      <c r="I53" s="105" t="s">
        <v>18</v>
      </c>
      <c r="J53" s="75" t="s">
        <v>53</v>
      </c>
      <c r="K53" s="75"/>
      <c r="L53" s="75" t="s">
        <v>122</v>
      </c>
      <c r="M53" s="68" t="s">
        <v>174</v>
      </c>
      <c r="N53" s="68" t="s">
        <v>239</v>
      </c>
      <c r="O53" s="75" t="s">
        <v>21</v>
      </c>
      <c r="P53" s="75">
        <v>42</v>
      </c>
      <c r="Q53" s="75" t="s">
        <v>110</v>
      </c>
      <c r="R53" s="75" t="s">
        <v>16</v>
      </c>
      <c r="S53" s="75"/>
      <c r="T53" s="75">
        <v>0.1</v>
      </c>
      <c r="U53" s="75" t="s">
        <v>67</v>
      </c>
      <c r="V53" s="75">
        <f>VLOOKUP(U53,'Conversion tables'!$M$5:$O$8,3,FALSE)</f>
        <v>1</v>
      </c>
      <c r="W53" s="75">
        <f t="shared" si="18"/>
        <v>0.1</v>
      </c>
      <c r="X53"/>
      <c r="Y53" s="75" t="str">
        <f>O53</f>
        <v>NOEC</v>
      </c>
      <c r="Z53" s="118">
        <f>VLOOKUP(Y53,'Conversion tables'!$C$5:$E$19,2,FALSE)</f>
        <v>1</v>
      </c>
      <c r="AA53" s="86">
        <f t="shared" si="20"/>
        <v>0.1</v>
      </c>
      <c r="AB53" s="86" t="str">
        <f t="shared" si="21"/>
        <v>Chronic</v>
      </c>
      <c r="AC53" s="86">
        <f>VLOOKUP(AB53,'Conversion tables'!$C$22:$E$23,2,FALSE)</f>
        <v>1</v>
      </c>
      <c r="AD53" s="86">
        <f t="shared" si="22"/>
        <v>0.1</v>
      </c>
      <c r="AE53" s="50"/>
      <c r="AF53" s="81" t="str">
        <f t="shared" si="26"/>
        <v>Lemna minor</v>
      </c>
      <c r="AG53" s="81" t="str">
        <f t="shared" si="23"/>
        <v>NOEC</v>
      </c>
      <c r="AH53" s="81" t="str">
        <f t="shared" si="24"/>
        <v>Chronic</v>
      </c>
      <c r="AI53" s="81">
        <f>VLOOKUP(SUM(Z53,AC53),'Conversion tables'!$J$5:$K$11,2,FALSE)</f>
        <v>1</v>
      </c>
      <c r="AJ53" s="81" t="str">
        <f t="shared" si="25"/>
        <v>YES!!!</v>
      </c>
      <c r="AK53" s="80" t="str">
        <f>N53</f>
        <v>Frond Count</v>
      </c>
      <c r="AL53" s="81" t="s">
        <v>249</v>
      </c>
      <c r="AM53" s="81" t="str">
        <f>CONCATENATE(P53," ",Q53)</f>
        <v>42 Days</v>
      </c>
      <c r="AN53" s="81" t="s">
        <v>250</v>
      </c>
      <c r="AO53" s="2"/>
      <c r="AP53" s="81">
        <f>AD53</f>
        <v>0.1</v>
      </c>
      <c r="AQ53" s="80">
        <f>GEOMEAN(AP53)</f>
        <v>0.1</v>
      </c>
      <c r="AR53" s="118">
        <f>MIN(AQ53)</f>
        <v>0.1</v>
      </c>
      <c r="AS53" s="6"/>
      <c r="AT53" s="6"/>
      <c r="AU53" s="6"/>
      <c r="AV53" s="6"/>
      <c r="AW53" s="80"/>
      <c r="AX53" s="6"/>
      <c r="AY53" s="6"/>
      <c r="AZ53" s="6"/>
      <c r="BA53" s="6"/>
      <c r="BB53" s="6"/>
      <c r="BC53" s="6"/>
      <c r="BD53" s="89"/>
      <c r="BE53" s="89"/>
      <c r="BF53" s="89"/>
      <c r="BG53" s="61"/>
      <c r="BH53" s="61"/>
      <c r="BI53" s="61"/>
      <c r="BJ53" s="89"/>
      <c r="BK53" s="89"/>
      <c r="BL53" s="89"/>
      <c r="BM53" s="89"/>
    </row>
    <row r="54" spans="1:65" s="77" customFormat="1" thickTop="1" thickBot="1" x14ac:dyDescent="0.25">
      <c r="A54" s="75">
        <v>928</v>
      </c>
      <c r="B54" s="75" t="s">
        <v>124</v>
      </c>
      <c r="C54" s="75"/>
      <c r="D54" s="75" t="s">
        <v>95</v>
      </c>
      <c r="E54" s="118" t="s">
        <v>127</v>
      </c>
      <c r="F54" s="105" t="s">
        <v>106</v>
      </c>
      <c r="G54" s="105" t="s">
        <v>107</v>
      </c>
      <c r="H54" s="105" t="s">
        <v>108</v>
      </c>
      <c r="I54" s="105" t="s">
        <v>18</v>
      </c>
      <c r="J54" s="75" t="s">
        <v>53</v>
      </c>
      <c r="K54" s="75"/>
      <c r="L54" s="75" t="s">
        <v>122</v>
      </c>
      <c r="M54" s="68" t="s">
        <v>174</v>
      </c>
      <c r="N54" s="68" t="s">
        <v>239</v>
      </c>
      <c r="O54" s="75" t="s">
        <v>22</v>
      </c>
      <c r="P54" s="75">
        <v>42</v>
      </c>
      <c r="Q54" s="75" t="s">
        <v>110</v>
      </c>
      <c r="R54" s="75" t="s">
        <v>16</v>
      </c>
      <c r="S54" s="75"/>
      <c r="T54" s="75">
        <v>0.5</v>
      </c>
      <c r="U54" s="75" t="s">
        <v>67</v>
      </c>
      <c r="V54" s="75">
        <f>VLOOKUP(U54,'Conversion tables'!$M$5:$O$8,3,FALSE)</f>
        <v>1</v>
      </c>
      <c r="W54" s="75">
        <f t="shared" si="18"/>
        <v>0.5</v>
      </c>
      <c r="X54"/>
      <c r="Y54" s="75" t="str">
        <f>O54</f>
        <v>LOEC</v>
      </c>
      <c r="Z54" s="118">
        <f>VLOOKUP(Y54,'Conversion tables'!$C$5:$E$19,2,FALSE)</f>
        <v>2.5</v>
      </c>
      <c r="AA54" s="86">
        <f t="shared" si="20"/>
        <v>0.2</v>
      </c>
      <c r="AB54" s="86" t="str">
        <f t="shared" si="21"/>
        <v>Chronic</v>
      </c>
      <c r="AC54" s="86">
        <f>VLOOKUP(AB54,'Conversion tables'!$C$22:$E$23,2,FALSE)</f>
        <v>1</v>
      </c>
      <c r="AD54" s="86">
        <f t="shared" si="22"/>
        <v>0.2</v>
      </c>
      <c r="AE54" s="50"/>
      <c r="AF54" s="81" t="str">
        <f t="shared" si="26"/>
        <v>Lemna minor</v>
      </c>
      <c r="AG54" s="81" t="str">
        <f t="shared" si="23"/>
        <v>LOEC</v>
      </c>
      <c r="AH54" s="81" t="str">
        <f t="shared" si="24"/>
        <v>Chronic</v>
      </c>
      <c r="AI54" s="81">
        <f>VLOOKUP(SUM(Z54,AC54),'Conversion tables'!$J$5:$K$11,2,FALSE)</f>
        <v>2</v>
      </c>
      <c r="AJ54" s="81" t="str">
        <f t="shared" si="25"/>
        <v>Reject</v>
      </c>
      <c r="AK54" s="6"/>
      <c r="AL54" s="81"/>
      <c r="AM54" s="81"/>
      <c r="AN54" s="81"/>
      <c r="AO54" s="2"/>
      <c r="AP54" s="8"/>
      <c r="AQ54" s="6"/>
      <c r="AR54" s="6"/>
      <c r="AS54" s="6"/>
      <c r="AT54" s="6"/>
      <c r="AU54" s="6"/>
      <c r="AV54" s="6"/>
      <c r="AW54" s="80"/>
      <c r="AX54" s="6"/>
      <c r="AY54" s="6"/>
      <c r="AZ54" s="6"/>
      <c r="BA54" s="6"/>
      <c r="BB54" s="6"/>
      <c r="BC54" s="6"/>
      <c r="BD54" s="89"/>
      <c r="BE54" s="89"/>
      <c r="BF54" s="59"/>
      <c r="BG54" s="61"/>
      <c r="BH54" s="61"/>
      <c r="BI54" s="61"/>
      <c r="BJ54" s="59"/>
      <c r="BK54" s="60"/>
    </row>
    <row r="55" spans="1:65" s="77" customFormat="1" thickTop="1" thickBot="1" x14ac:dyDescent="0.25">
      <c r="A55" s="86" t="s">
        <v>201</v>
      </c>
      <c r="B55" s="86" t="s">
        <v>207</v>
      </c>
      <c r="C55" s="86"/>
      <c r="D55" s="86" t="s">
        <v>95</v>
      </c>
      <c r="E55" s="118" t="s">
        <v>127</v>
      </c>
      <c r="F55" s="105" t="s">
        <v>106</v>
      </c>
      <c r="G55" s="105" t="s">
        <v>107</v>
      </c>
      <c r="H55" s="105" t="s">
        <v>108</v>
      </c>
      <c r="I55" s="105" t="s">
        <v>18</v>
      </c>
      <c r="J55" s="86" t="s">
        <v>98</v>
      </c>
      <c r="K55" s="86"/>
      <c r="L55" s="86" t="s">
        <v>208</v>
      </c>
      <c r="M55" s="68" t="s">
        <v>62</v>
      </c>
      <c r="N55" s="68" t="s">
        <v>235</v>
      </c>
      <c r="O55" s="86" t="s">
        <v>15</v>
      </c>
      <c r="P55" s="86">
        <v>14</v>
      </c>
      <c r="Q55" s="86" t="s">
        <v>110</v>
      </c>
      <c r="R55" s="86" t="s">
        <v>16</v>
      </c>
      <c r="S55" s="86"/>
      <c r="T55" s="86">
        <v>0.18</v>
      </c>
      <c r="U55" s="86" t="s">
        <v>67</v>
      </c>
      <c r="V55" s="86">
        <f>VLOOKUP(U55,'Conversion tables'!$M$5:$O$8,3,FALSE)</f>
        <v>1</v>
      </c>
      <c r="W55" s="86">
        <f t="shared" si="18"/>
        <v>0.18</v>
      </c>
      <c r="X55" s="76"/>
      <c r="Y55" s="86" t="str">
        <f>O55</f>
        <v>EC50</v>
      </c>
      <c r="Z55" s="118">
        <f>VLOOKUP(Y55,'Conversion tables'!$C$5:$E$19,2,FALSE)</f>
        <v>5</v>
      </c>
      <c r="AA55" s="86">
        <f t="shared" si="20"/>
        <v>3.5999999999999997E-2</v>
      </c>
      <c r="AB55" s="86" t="str">
        <f t="shared" si="21"/>
        <v>Chronic</v>
      </c>
      <c r="AC55" s="86">
        <f>VLOOKUP(AB55,'Conversion tables'!$C$22:$E$23,2,FALSE)</f>
        <v>1</v>
      </c>
      <c r="AD55" s="86">
        <f t="shared" si="22"/>
        <v>3.5999999999999997E-2</v>
      </c>
      <c r="AE55" s="72"/>
      <c r="AF55" s="81" t="str">
        <f t="shared" si="26"/>
        <v>Lemna minor</v>
      </c>
      <c r="AG55" s="81" t="str">
        <f t="shared" si="23"/>
        <v>EC50</v>
      </c>
      <c r="AH55" s="81" t="str">
        <f t="shared" si="24"/>
        <v>Chronic</v>
      </c>
      <c r="AI55" s="81">
        <f>VLOOKUP(SUM(Z55,AC55),'Conversion tables'!$J$5:$K$11,2,FALSE)</f>
        <v>2</v>
      </c>
      <c r="AJ55" s="81" t="str">
        <f t="shared" si="25"/>
        <v>Reject</v>
      </c>
      <c r="AK55" s="80"/>
      <c r="AL55" s="81"/>
      <c r="AM55" s="81"/>
      <c r="AN55" s="81"/>
      <c r="AP55" s="81"/>
      <c r="AQ55" s="80"/>
      <c r="AR55" s="80"/>
      <c r="AS55" s="80"/>
      <c r="AT55" s="80"/>
      <c r="AU55" s="80"/>
      <c r="AV55" s="80"/>
      <c r="AW55" s="80"/>
      <c r="AX55" s="80"/>
      <c r="AY55" s="80"/>
      <c r="AZ55" s="80"/>
      <c r="BA55" s="80"/>
      <c r="BB55" s="80"/>
      <c r="BC55" s="80"/>
      <c r="BD55" s="89"/>
      <c r="BE55" s="89"/>
      <c r="BF55" s="61"/>
      <c r="BG55" s="61"/>
      <c r="BH55" s="61"/>
      <c r="BI55" s="61"/>
      <c r="BJ55" s="61"/>
      <c r="BK55" s="62"/>
    </row>
    <row r="56" spans="1:65" s="77" customFormat="1" thickTop="1" thickBot="1" x14ac:dyDescent="0.25">
      <c r="A56" s="86" t="s">
        <v>201</v>
      </c>
      <c r="B56" s="86" t="s">
        <v>209</v>
      </c>
      <c r="C56" s="86"/>
      <c r="D56" s="86" t="s">
        <v>95</v>
      </c>
      <c r="E56" s="118" t="s">
        <v>127</v>
      </c>
      <c r="F56" s="105" t="s">
        <v>106</v>
      </c>
      <c r="G56" s="105" t="s">
        <v>107</v>
      </c>
      <c r="H56" s="105" t="s">
        <v>108</v>
      </c>
      <c r="I56" s="105" t="s">
        <v>18</v>
      </c>
      <c r="J56" s="86" t="s">
        <v>98</v>
      </c>
      <c r="K56" s="86"/>
      <c r="L56" s="86" t="s">
        <v>208</v>
      </c>
      <c r="M56" s="68" t="s">
        <v>62</v>
      </c>
      <c r="N56" s="68" t="s">
        <v>235</v>
      </c>
      <c r="O56" s="86" t="s">
        <v>15</v>
      </c>
      <c r="P56" s="86">
        <v>14</v>
      </c>
      <c r="Q56" s="86" t="s">
        <v>110</v>
      </c>
      <c r="R56" s="86" t="s">
        <v>16</v>
      </c>
      <c r="S56" s="86"/>
      <c r="T56" s="86">
        <v>0.1</v>
      </c>
      <c r="U56" s="86" t="s">
        <v>67</v>
      </c>
      <c r="V56" s="86">
        <f>VLOOKUP(U56,'Conversion tables'!$M$5:$O$8,3,FALSE)</f>
        <v>1</v>
      </c>
      <c r="W56" s="86">
        <f t="shared" si="18"/>
        <v>0.1</v>
      </c>
      <c r="X56" s="76"/>
      <c r="Y56" s="86" t="str">
        <f>O56</f>
        <v>EC50</v>
      </c>
      <c r="Z56" s="118">
        <f>VLOOKUP(Y56,'Conversion tables'!$C$5:$E$19,2,FALSE)</f>
        <v>5</v>
      </c>
      <c r="AA56" s="86">
        <f t="shared" si="20"/>
        <v>0.02</v>
      </c>
      <c r="AB56" s="86" t="str">
        <f t="shared" si="21"/>
        <v>Chronic</v>
      </c>
      <c r="AC56" s="86">
        <f>VLOOKUP(AB56,'Conversion tables'!$C$22:$E$23,2,FALSE)</f>
        <v>1</v>
      </c>
      <c r="AD56" s="86">
        <f t="shared" si="22"/>
        <v>0.02</v>
      </c>
      <c r="AE56" s="72"/>
      <c r="AF56" s="81" t="str">
        <f t="shared" si="26"/>
        <v>Lemna minor</v>
      </c>
      <c r="AG56" s="81" t="str">
        <f t="shared" si="23"/>
        <v>EC50</v>
      </c>
      <c r="AH56" s="81" t="str">
        <f t="shared" si="24"/>
        <v>Chronic</v>
      </c>
      <c r="AI56" s="81">
        <f>VLOOKUP(SUM(Z56,AC56),'Conversion tables'!$J$5:$K$11,2,FALSE)</f>
        <v>2</v>
      </c>
      <c r="AJ56" s="81" t="str">
        <f>IF(AI56=MIN($AI$45:$AI$70),"YES!!!","Reject")</f>
        <v>Reject</v>
      </c>
      <c r="AK56" s="80"/>
      <c r="AL56" s="81"/>
      <c r="AM56" s="81"/>
      <c r="AN56" s="81"/>
      <c r="AP56" s="81"/>
      <c r="AQ56" s="80"/>
      <c r="AR56" s="80"/>
      <c r="AS56" s="80"/>
      <c r="AT56" s="80"/>
      <c r="AU56" s="80"/>
      <c r="AV56" s="80"/>
      <c r="AW56" s="80"/>
      <c r="AX56" s="80"/>
      <c r="AY56" s="80"/>
      <c r="AZ56" s="80"/>
      <c r="BA56" s="80"/>
      <c r="BB56" s="80"/>
      <c r="BC56" s="80"/>
      <c r="BD56" s="89"/>
      <c r="BE56" s="89"/>
      <c r="BF56" s="61"/>
      <c r="BG56" s="61"/>
      <c r="BH56" s="61"/>
      <c r="BI56" s="61"/>
      <c r="BJ56" s="61"/>
      <c r="BK56" s="62"/>
    </row>
    <row r="57" spans="1:65" s="77" customFormat="1" thickTop="1" thickBot="1" x14ac:dyDescent="0.25">
      <c r="A57" s="118">
        <v>1258</v>
      </c>
      <c r="B57" s="118" t="s">
        <v>269</v>
      </c>
      <c r="C57" s="2"/>
      <c r="D57" s="118" t="s">
        <v>95</v>
      </c>
      <c r="E57" s="118" t="s">
        <v>127</v>
      </c>
      <c r="F57" s="118" t="s">
        <v>106</v>
      </c>
      <c r="G57" s="118" t="s">
        <v>107</v>
      </c>
      <c r="H57" s="118" t="s">
        <v>108</v>
      </c>
      <c r="I57" s="118" t="s">
        <v>18</v>
      </c>
      <c r="J57" s="118" t="s">
        <v>98</v>
      </c>
      <c r="K57" s="2"/>
      <c r="L57" s="118" t="s">
        <v>128</v>
      </c>
      <c r="M57" s="68" t="s">
        <v>174</v>
      </c>
      <c r="N57" s="81" t="s">
        <v>277</v>
      </c>
      <c r="O57" s="118" t="s">
        <v>15</v>
      </c>
      <c r="P57" s="118">
        <v>7</v>
      </c>
      <c r="Q57" s="118" t="s">
        <v>110</v>
      </c>
      <c r="R57" s="118" t="s">
        <v>16</v>
      </c>
      <c r="S57" s="2"/>
      <c r="T57" s="118">
        <v>0.8</v>
      </c>
      <c r="U57" s="118" t="s">
        <v>152</v>
      </c>
      <c r="V57" s="98">
        <v>381.36380000000003</v>
      </c>
      <c r="W57" s="97">
        <f t="shared" ref="W57:W64" si="27">(V57*T57)/1000</f>
        <v>0.30509104000000004</v>
      </c>
      <c r="X57" s="6"/>
      <c r="Y57" s="118" t="str">
        <f t="shared" ref="Y57:Y68" si="28">O57</f>
        <v>EC50</v>
      </c>
      <c r="Z57" s="118">
        <f>VLOOKUP(Y57,'Conversion tables'!$C$5:$E$19,2,FALSE)</f>
        <v>5</v>
      </c>
      <c r="AA57" s="118">
        <f t="shared" ref="AA57:AA68" si="29">W57/Z57</f>
        <v>6.1018208000000004E-2</v>
      </c>
      <c r="AB57" s="118" t="str">
        <f t="shared" ref="AB57:AB68" si="30">R57</f>
        <v>Chronic</v>
      </c>
      <c r="AC57" s="118">
        <f>VLOOKUP(AB57,'Conversion tables'!$C$22:$E$23,2,FALSE)</f>
        <v>1</v>
      </c>
      <c r="AD57" s="118">
        <f t="shared" ref="AD57:AD68" si="31">AA57/AC57</f>
        <v>6.1018208000000004E-2</v>
      </c>
      <c r="AE57" s="50"/>
      <c r="AF57" s="81" t="str">
        <f>E57</f>
        <v>Lemna minor</v>
      </c>
      <c r="AG57" s="81" t="str">
        <f t="shared" si="23"/>
        <v>EC50</v>
      </c>
      <c r="AH57" s="81" t="str">
        <f t="shared" si="24"/>
        <v>Chronic</v>
      </c>
      <c r="AI57" s="81">
        <f>VLOOKUP(SUM(Z57,AC57),'Conversion tables'!$J$5:$K$11,2,FALSE)</f>
        <v>2</v>
      </c>
      <c r="AJ57" s="81" t="str">
        <f t="shared" si="25"/>
        <v>Reject</v>
      </c>
      <c r="AK57" s="6"/>
      <c r="AL57" s="81"/>
      <c r="AM57" s="81"/>
      <c r="AN57" s="81"/>
      <c r="AO57" s="2"/>
      <c r="AP57" s="8"/>
      <c r="AQ57" s="6"/>
      <c r="AR57" s="6"/>
      <c r="AS57" s="6"/>
      <c r="AT57" s="6"/>
      <c r="AU57" s="6"/>
      <c r="AV57" s="6"/>
      <c r="AW57" s="80"/>
      <c r="AX57" s="6"/>
      <c r="AY57" s="6"/>
      <c r="AZ57" s="6"/>
      <c r="BA57" s="6"/>
      <c r="BB57" s="6"/>
      <c r="BC57" s="6"/>
      <c r="BD57" s="89"/>
      <c r="BE57" s="89"/>
    </row>
    <row r="58" spans="1:65" s="77" customFormat="1" thickTop="1" thickBot="1" x14ac:dyDescent="0.25">
      <c r="A58" s="118">
        <v>1258</v>
      </c>
      <c r="B58" s="118" t="s">
        <v>270</v>
      </c>
      <c r="C58" s="2"/>
      <c r="D58" s="118" t="s">
        <v>95</v>
      </c>
      <c r="E58" s="118" t="s">
        <v>127</v>
      </c>
      <c r="F58" s="118" t="s">
        <v>106</v>
      </c>
      <c r="G58" s="118" t="s">
        <v>107</v>
      </c>
      <c r="H58" s="118" t="s">
        <v>108</v>
      </c>
      <c r="I58" s="118" t="s">
        <v>18</v>
      </c>
      <c r="J58" s="118" t="s">
        <v>98</v>
      </c>
      <c r="K58" s="2"/>
      <c r="L58" s="118" t="s">
        <v>128</v>
      </c>
      <c r="M58" s="68" t="s">
        <v>174</v>
      </c>
      <c r="N58" s="81" t="s">
        <v>277</v>
      </c>
      <c r="O58" s="118" t="s">
        <v>15</v>
      </c>
      <c r="P58" s="118">
        <v>7</v>
      </c>
      <c r="Q58" s="118" t="s">
        <v>110</v>
      </c>
      <c r="R58" s="118" t="s">
        <v>16</v>
      </c>
      <c r="S58" s="2"/>
      <c r="T58" s="78">
        <v>2.2999999999999998</v>
      </c>
      <c r="U58" s="118" t="s">
        <v>152</v>
      </c>
      <c r="V58" s="98">
        <v>381.36380000000003</v>
      </c>
      <c r="W58" s="97">
        <f t="shared" si="27"/>
        <v>0.87713674000000008</v>
      </c>
      <c r="X58" s="6"/>
      <c r="Y58" s="118" t="str">
        <f t="shared" si="28"/>
        <v>EC50</v>
      </c>
      <c r="Z58" s="118">
        <f>VLOOKUP(Y58,'Conversion tables'!$C$5:$E$19,2,FALSE)</f>
        <v>5</v>
      </c>
      <c r="AA58" s="118">
        <f t="shared" si="29"/>
        <v>0.17542734800000001</v>
      </c>
      <c r="AB58" s="118" t="str">
        <f t="shared" si="30"/>
        <v>Chronic</v>
      </c>
      <c r="AC58" s="118">
        <f>VLOOKUP(AB58,'Conversion tables'!$C$22:$E$23,2,FALSE)</f>
        <v>1</v>
      </c>
      <c r="AD58" s="118">
        <f t="shared" si="31"/>
        <v>0.17542734800000001</v>
      </c>
      <c r="AE58" s="50"/>
      <c r="AF58" s="81" t="str">
        <f t="shared" ref="AF58:AF64" si="32">E58</f>
        <v>Lemna minor</v>
      </c>
      <c r="AG58" s="81" t="str">
        <f t="shared" ref="AG58:AG64" si="33">O58</f>
        <v>EC50</v>
      </c>
      <c r="AH58" s="81" t="str">
        <f t="shared" ref="AH58:AH64" si="34">R58</f>
        <v>Chronic</v>
      </c>
      <c r="AI58" s="81">
        <f>VLOOKUP(SUM(Z58,AC58),'Conversion tables'!$J$5:$K$11,2,FALSE)</f>
        <v>2</v>
      </c>
      <c r="AJ58" s="81" t="str">
        <f t="shared" si="25"/>
        <v>Reject</v>
      </c>
      <c r="AK58" s="6"/>
      <c r="AL58" s="81"/>
      <c r="AM58" s="81"/>
      <c r="AN58" s="81"/>
      <c r="AO58" s="2"/>
      <c r="AP58" s="8"/>
      <c r="AQ58" s="6"/>
      <c r="AR58" s="6"/>
      <c r="AS58" s="6"/>
      <c r="AT58" s="6"/>
      <c r="AU58" s="6"/>
      <c r="AV58" s="6"/>
      <c r="AW58" s="80"/>
      <c r="AX58" s="6"/>
      <c r="AY58" s="6"/>
      <c r="AZ58" s="6"/>
      <c r="BA58" s="6"/>
      <c r="BB58" s="6"/>
      <c r="BC58" s="6"/>
      <c r="BD58" s="89"/>
      <c r="BE58" s="89"/>
    </row>
    <row r="59" spans="1:65" s="77" customFormat="1" ht="17.25" customHeight="1" thickTop="1" thickBot="1" x14ac:dyDescent="0.25">
      <c r="A59" s="118">
        <v>1258</v>
      </c>
      <c r="B59" s="118" t="s">
        <v>271</v>
      </c>
      <c r="C59" s="2"/>
      <c r="D59" s="118" t="s">
        <v>95</v>
      </c>
      <c r="E59" s="118" t="s">
        <v>127</v>
      </c>
      <c r="F59" s="118" t="s">
        <v>106</v>
      </c>
      <c r="G59" s="118" t="s">
        <v>107</v>
      </c>
      <c r="H59" s="118" t="s">
        <v>108</v>
      </c>
      <c r="I59" s="118" t="s">
        <v>18</v>
      </c>
      <c r="J59" s="118" t="s">
        <v>98</v>
      </c>
      <c r="K59" s="2"/>
      <c r="L59" s="118" t="s">
        <v>128</v>
      </c>
      <c r="M59" s="68" t="s">
        <v>174</v>
      </c>
      <c r="N59" s="81" t="s">
        <v>277</v>
      </c>
      <c r="O59" s="118" t="s">
        <v>15</v>
      </c>
      <c r="P59" s="118">
        <v>7</v>
      </c>
      <c r="Q59" s="118" t="s">
        <v>110</v>
      </c>
      <c r="R59" s="118" t="s">
        <v>16</v>
      </c>
      <c r="S59" s="2"/>
      <c r="T59" s="78">
        <v>12.7</v>
      </c>
      <c r="U59" s="118" t="s">
        <v>152</v>
      </c>
      <c r="V59" s="98">
        <v>381.36380000000003</v>
      </c>
      <c r="W59" s="97">
        <f t="shared" si="27"/>
        <v>4.8433202600000005</v>
      </c>
      <c r="X59" s="6"/>
      <c r="Y59" s="118" t="str">
        <f t="shared" si="28"/>
        <v>EC50</v>
      </c>
      <c r="Z59" s="118">
        <f>VLOOKUP(Y59,'Conversion tables'!$C$5:$E$19,2,FALSE)</f>
        <v>5</v>
      </c>
      <c r="AA59" s="118">
        <f t="shared" si="29"/>
        <v>0.96866405200000005</v>
      </c>
      <c r="AB59" s="118" t="str">
        <f t="shared" si="30"/>
        <v>Chronic</v>
      </c>
      <c r="AC59" s="118">
        <f>VLOOKUP(AB59,'Conversion tables'!$C$22:$E$23,2,FALSE)</f>
        <v>1</v>
      </c>
      <c r="AD59" s="118">
        <f t="shared" si="31"/>
        <v>0.96866405200000005</v>
      </c>
      <c r="AE59" s="50"/>
      <c r="AF59" s="81" t="str">
        <f t="shared" si="32"/>
        <v>Lemna minor</v>
      </c>
      <c r="AG59" s="81" t="str">
        <f t="shared" si="33"/>
        <v>EC50</v>
      </c>
      <c r="AH59" s="81" t="str">
        <f t="shared" si="34"/>
        <v>Chronic</v>
      </c>
      <c r="AI59" s="81">
        <f>VLOOKUP(SUM(Z59,AC59),'Conversion tables'!$J$5:$K$11,2,FALSE)</f>
        <v>2</v>
      </c>
      <c r="AJ59" s="81" t="str">
        <f t="shared" si="25"/>
        <v>Reject</v>
      </c>
      <c r="AK59" s="6"/>
      <c r="AL59" s="81"/>
      <c r="AM59" s="81"/>
      <c r="AN59" s="81"/>
      <c r="AO59" s="2"/>
      <c r="AP59" s="8"/>
      <c r="AQ59" s="6"/>
      <c r="AR59" s="6"/>
      <c r="AS59" s="6"/>
      <c r="AT59" s="6"/>
      <c r="AU59" s="6"/>
      <c r="AV59" s="6"/>
      <c r="AW59" s="80"/>
      <c r="AX59" s="6"/>
      <c r="AY59" s="6"/>
      <c r="AZ59" s="6"/>
      <c r="BA59" s="6"/>
      <c r="BB59" s="6"/>
      <c r="BC59" s="6"/>
      <c r="BD59" s="89"/>
      <c r="BE59" s="89"/>
    </row>
    <row r="60" spans="1:65" s="77" customFormat="1" thickTop="1" thickBot="1" x14ac:dyDescent="0.25">
      <c r="A60" s="118">
        <v>1258</v>
      </c>
      <c r="B60" s="118" t="s">
        <v>272</v>
      </c>
      <c r="C60" s="2"/>
      <c r="D60" s="118" t="s">
        <v>95</v>
      </c>
      <c r="E60" s="118" t="s">
        <v>127</v>
      </c>
      <c r="F60" s="118" t="s">
        <v>106</v>
      </c>
      <c r="G60" s="118" t="s">
        <v>107</v>
      </c>
      <c r="H60" s="118" t="s">
        <v>108</v>
      </c>
      <c r="I60" s="118" t="s">
        <v>18</v>
      </c>
      <c r="J60" s="118" t="s">
        <v>98</v>
      </c>
      <c r="K60" s="2"/>
      <c r="L60" s="118" t="s">
        <v>128</v>
      </c>
      <c r="M60" s="68" t="s">
        <v>174</v>
      </c>
      <c r="N60" s="81" t="s">
        <v>277</v>
      </c>
      <c r="O60" s="118" t="s">
        <v>15</v>
      </c>
      <c r="P60" s="118">
        <v>7</v>
      </c>
      <c r="Q60" s="118" t="s">
        <v>110</v>
      </c>
      <c r="R60" s="118" t="s">
        <v>16</v>
      </c>
      <c r="S60" s="2"/>
      <c r="T60" s="78">
        <v>1.1299999999999999</v>
      </c>
      <c r="U60" s="118" t="s">
        <v>152</v>
      </c>
      <c r="V60" s="98">
        <v>381.36380000000003</v>
      </c>
      <c r="W60" s="97">
        <f t="shared" si="27"/>
        <v>0.43094109399999997</v>
      </c>
      <c r="X60" s="6"/>
      <c r="Y60" s="118" t="str">
        <f t="shared" si="28"/>
        <v>EC50</v>
      </c>
      <c r="Z60" s="118">
        <f>VLOOKUP(Y60,'Conversion tables'!$C$5:$E$19,2,FALSE)</f>
        <v>5</v>
      </c>
      <c r="AA60" s="118">
        <f t="shared" si="29"/>
        <v>8.6188218799999994E-2</v>
      </c>
      <c r="AB60" s="118" t="str">
        <f t="shared" si="30"/>
        <v>Chronic</v>
      </c>
      <c r="AC60" s="118">
        <f>VLOOKUP(AB60,'Conversion tables'!$C$22:$E$23,2,FALSE)</f>
        <v>1</v>
      </c>
      <c r="AD60" s="118">
        <f t="shared" si="31"/>
        <v>8.6188218799999994E-2</v>
      </c>
      <c r="AE60" s="50"/>
      <c r="AF60" s="81" t="str">
        <f t="shared" si="32"/>
        <v>Lemna minor</v>
      </c>
      <c r="AG60" s="81" t="str">
        <f t="shared" si="33"/>
        <v>EC50</v>
      </c>
      <c r="AH60" s="81" t="str">
        <f t="shared" si="34"/>
        <v>Chronic</v>
      </c>
      <c r="AI60" s="81">
        <f>VLOOKUP(SUM(Z60,AC60),'Conversion tables'!$J$5:$K$11,2,FALSE)</f>
        <v>2</v>
      </c>
      <c r="AJ60" s="81" t="str">
        <f t="shared" si="25"/>
        <v>Reject</v>
      </c>
      <c r="AK60" s="6"/>
      <c r="AL60" s="81"/>
      <c r="AM60" s="81"/>
      <c r="AN60" s="81"/>
      <c r="AO60" s="2"/>
      <c r="AP60" s="8"/>
      <c r="AQ60" s="6"/>
      <c r="AR60" s="6"/>
      <c r="AS60" s="6"/>
      <c r="AT60" s="6"/>
      <c r="AU60" s="6"/>
      <c r="AV60" s="6"/>
      <c r="AW60" s="80"/>
      <c r="AX60" s="6"/>
      <c r="AY60" s="6"/>
      <c r="AZ60" s="6"/>
      <c r="BA60" s="6"/>
      <c r="BB60" s="6"/>
      <c r="BC60" s="6"/>
      <c r="BD60" s="89"/>
      <c r="BE60" s="89"/>
    </row>
    <row r="61" spans="1:65" s="77" customFormat="1" thickTop="1" thickBot="1" x14ac:dyDescent="0.25">
      <c r="A61" s="118">
        <v>1258</v>
      </c>
      <c r="B61" s="118" t="s">
        <v>273</v>
      </c>
      <c r="C61" s="2"/>
      <c r="D61" s="118" t="s">
        <v>95</v>
      </c>
      <c r="E61" s="118" t="s">
        <v>127</v>
      </c>
      <c r="F61" s="118" t="s">
        <v>106</v>
      </c>
      <c r="G61" s="118" t="s">
        <v>107</v>
      </c>
      <c r="H61" s="118" t="s">
        <v>108</v>
      </c>
      <c r="I61" s="118" t="s">
        <v>18</v>
      </c>
      <c r="J61" s="118" t="s">
        <v>98</v>
      </c>
      <c r="K61" s="2"/>
      <c r="L61" s="118" t="s">
        <v>128</v>
      </c>
      <c r="M61" s="68" t="s">
        <v>174</v>
      </c>
      <c r="N61" s="81" t="s">
        <v>277</v>
      </c>
      <c r="O61" s="118" t="s">
        <v>25</v>
      </c>
      <c r="P61" s="118">
        <v>7</v>
      </c>
      <c r="Q61" s="118" t="s">
        <v>110</v>
      </c>
      <c r="R61" s="118" t="s">
        <v>16</v>
      </c>
      <c r="S61" s="2"/>
      <c r="T61" s="78">
        <v>0.3</v>
      </c>
      <c r="U61" s="118" t="s">
        <v>152</v>
      </c>
      <c r="V61" s="98">
        <v>381.36380000000003</v>
      </c>
      <c r="W61" s="97">
        <f t="shared" si="27"/>
        <v>0.11440914000000001</v>
      </c>
      <c r="X61" s="6"/>
      <c r="Y61" s="118" t="str">
        <f t="shared" si="28"/>
        <v>EC10</v>
      </c>
      <c r="Z61" s="118">
        <f>VLOOKUP(Y61,'Conversion tables'!$C$5:$E$19,2,FALSE)</f>
        <v>1</v>
      </c>
      <c r="AA61" s="118">
        <f t="shared" si="29"/>
        <v>0.11440914000000001</v>
      </c>
      <c r="AB61" s="118" t="str">
        <f t="shared" si="30"/>
        <v>Chronic</v>
      </c>
      <c r="AC61" s="118">
        <f>VLOOKUP(AB61,'Conversion tables'!$C$22:$E$23,2,FALSE)</f>
        <v>1</v>
      </c>
      <c r="AD61" s="118">
        <f t="shared" si="31"/>
        <v>0.11440914000000001</v>
      </c>
      <c r="AE61" s="50"/>
      <c r="AF61" s="81" t="str">
        <f t="shared" si="32"/>
        <v>Lemna minor</v>
      </c>
      <c r="AG61" s="81" t="str">
        <f t="shared" si="33"/>
        <v>EC10</v>
      </c>
      <c r="AH61" s="81" t="str">
        <f t="shared" si="34"/>
        <v>Chronic</v>
      </c>
      <c r="AI61" s="81">
        <f>VLOOKUP(SUM(Z61,AC61),'Conversion tables'!$J$5:$K$11,2,FALSE)</f>
        <v>1</v>
      </c>
      <c r="AJ61" s="81" t="str">
        <f t="shared" si="25"/>
        <v>YES!!!</v>
      </c>
      <c r="AK61" s="80" t="str">
        <f>N61</f>
        <v>Frond area</v>
      </c>
      <c r="AL61" s="81" t="s">
        <v>185</v>
      </c>
      <c r="AM61" s="81" t="str">
        <f>CONCATENATE(P61," ",Q61)</f>
        <v>7 Days</v>
      </c>
      <c r="AN61" s="81" t="s">
        <v>187</v>
      </c>
      <c r="AO61" s="2"/>
      <c r="AP61" s="81">
        <f>AD61</f>
        <v>0.11440914000000001</v>
      </c>
      <c r="AQ61" s="6"/>
      <c r="AR61" s="6"/>
      <c r="AS61" s="6"/>
      <c r="AT61" s="6"/>
      <c r="AU61" s="6"/>
      <c r="AV61" s="6"/>
      <c r="AW61" s="80"/>
      <c r="AX61" s="6"/>
      <c r="AY61" s="6"/>
      <c r="AZ61" s="6"/>
      <c r="BA61" s="6"/>
      <c r="BB61" s="6"/>
      <c r="BC61" s="6"/>
      <c r="BD61" s="89"/>
      <c r="BE61" s="89"/>
    </row>
    <row r="62" spans="1:65" s="77" customFormat="1" thickTop="1" thickBot="1" x14ac:dyDescent="0.25">
      <c r="A62" s="118">
        <v>1258</v>
      </c>
      <c r="B62" s="118" t="s">
        <v>274</v>
      </c>
      <c r="C62" s="2"/>
      <c r="D62" s="118" t="s">
        <v>95</v>
      </c>
      <c r="E62" s="118" t="s">
        <v>127</v>
      </c>
      <c r="F62" s="118" t="s">
        <v>106</v>
      </c>
      <c r="G62" s="118" t="s">
        <v>107</v>
      </c>
      <c r="H62" s="118" t="s">
        <v>108</v>
      </c>
      <c r="I62" s="118" t="s">
        <v>18</v>
      </c>
      <c r="J62" s="118" t="s">
        <v>98</v>
      </c>
      <c r="K62" s="2"/>
      <c r="L62" s="118" t="s">
        <v>128</v>
      </c>
      <c r="M62" s="68" t="s">
        <v>174</v>
      </c>
      <c r="N62" s="81" t="s">
        <v>277</v>
      </c>
      <c r="O62" s="118" t="s">
        <v>25</v>
      </c>
      <c r="P62" s="118">
        <v>7</v>
      </c>
      <c r="Q62" s="118" t="s">
        <v>110</v>
      </c>
      <c r="R62" s="118" t="s">
        <v>16</v>
      </c>
      <c r="S62" s="2"/>
      <c r="T62" s="78">
        <v>0.8</v>
      </c>
      <c r="U62" s="118" t="s">
        <v>152</v>
      </c>
      <c r="V62" s="98">
        <v>381.36380000000003</v>
      </c>
      <c r="W62" s="97">
        <f t="shared" si="27"/>
        <v>0.30509104000000004</v>
      </c>
      <c r="X62" s="6"/>
      <c r="Y62" s="118" t="str">
        <f t="shared" si="28"/>
        <v>EC10</v>
      </c>
      <c r="Z62" s="118">
        <f>VLOOKUP(Y62,'Conversion tables'!$C$5:$E$19,2,FALSE)</f>
        <v>1</v>
      </c>
      <c r="AA62" s="118">
        <f t="shared" si="29"/>
        <v>0.30509104000000004</v>
      </c>
      <c r="AB62" s="118" t="str">
        <f t="shared" si="30"/>
        <v>Chronic</v>
      </c>
      <c r="AC62" s="118">
        <f>VLOOKUP(AB62,'Conversion tables'!$C$22:$E$23,2,FALSE)</f>
        <v>1</v>
      </c>
      <c r="AD62" s="118">
        <f t="shared" si="31"/>
        <v>0.30509104000000004</v>
      </c>
      <c r="AE62" s="50"/>
      <c r="AF62" s="81" t="str">
        <f t="shared" si="32"/>
        <v>Lemna minor</v>
      </c>
      <c r="AG62" s="81" t="str">
        <f t="shared" si="33"/>
        <v>EC10</v>
      </c>
      <c r="AH62" s="81" t="str">
        <f t="shared" si="34"/>
        <v>Chronic</v>
      </c>
      <c r="AI62" s="81">
        <f>VLOOKUP(SUM(Z62,AC62),'Conversion tables'!$J$5:$K$11,2,FALSE)</f>
        <v>1</v>
      </c>
      <c r="AJ62" s="81" t="str">
        <f t="shared" si="25"/>
        <v>YES!!!</v>
      </c>
      <c r="AK62" s="80" t="str">
        <f>N62</f>
        <v>Frond area</v>
      </c>
      <c r="AL62" s="81" t="s">
        <v>185</v>
      </c>
      <c r="AM62" s="81" t="str">
        <f>CONCATENATE(P62," ",Q62)</f>
        <v>7 Days</v>
      </c>
      <c r="AN62" s="81" t="s">
        <v>187</v>
      </c>
      <c r="AO62" s="2"/>
      <c r="AP62" s="81">
        <f>AD62</f>
        <v>0.30509104000000004</v>
      </c>
      <c r="AQ62" s="6"/>
      <c r="AR62" s="6"/>
      <c r="AS62" s="6"/>
      <c r="AT62" s="6"/>
      <c r="AU62" s="6"/>
      <c r="AV62" s="6"/>
      <c r="AW62" s="80"/>
      <c r="AX62" s="6"/>
      <c r="AY62" s="6"/>
      <c r="AZ62" s="6"/>
      <c r="BA62" s="6"/>
      <c r="BB62" s="6"/>
      <c r="BC62" s="6"/>
      <c r="BD62" s="89"/>
      <c r="BE62" s="89"/>
    </row>
    <row r="63" spans="1:65" s="77" customFormat="1" thickTop="1" thickBot="1" x14ac:dyDescent="0.25">
      <c r="A63" s="118">
        <v>1258</v>
      </c>
      <c r="B63" s="118" t="s">
        <v>275</v>
      </c>
      <c r="C63" s="2"/>
      <c r="D63" s="118" t="s">
        <v>95</v>
      </c>
      <c r="E63" s="118" t="s">
        <v>127</v>
      </c>
      <c r="F63" s="118" t="s">
        <v>106</v>
      </c>
      <c r="G63" s="118" t="s">
        <v>107</v>
      </c>
      <c r="H63" s="118" t="s">
        <v>108</v>
      </c>
      <c r="I63" s="118" t="s">
        <v>18</v>
      </c>
      <c r="J63" s="118" t="s">
        <v>98</v>
      </c>
      <c r="K63" s="2"/>
      <c r="L63" s="118" t="s">
        <v>128</v>
      </c>
      <c r="M63" s="68" t="s">
        <v>174</v>
      </c>
      <c r="N63" s="81" t="s">
        <v>277</v>
      </c>
      <c r="O63" s="118" t="s">
        <v>25</v>
      </c>
      <c r="P63" s="118">
        <v>7</v>
      </c>
      <c r="Q63" s="118" t="s">
        <v>110</v>
      </c>
      <c r="R63" s="118" t="s">
        <v>16</v>
      </c>
      <c r="S63" s="2"/>
      <c r="T63" s="78">
        <v>3.8</v>
      </c>
      <c r="U63" s="118" t="s">
        <v>152</v>
      </c>
      <c r="V63" s="98">
        <v>381.36380000000003</v>
      </c>
      <c r="W63" s="97">
        <f t="shared" si="27"/>
        <v>1.44918244</v>
      </c>
      <c r="X63" s="6"/>
      <c r="Y63" s="118" t="str">
        <f t="shared" si="28"/>
        <v>EC10</v>
      </c>
      <c r="Z63" s="118">
        <f>VLOOKUP(Y63,'Conversion tables'!$C$5:$E$19,2,FALSE)</f>
        <v>1</v>
      </c>
      <c r="AA63" s="118">
        <f t="shared" si="29"/>
        <v>1.44918244</v>
      </c>
      <c r="AB63" s="118" t="str">
        <f t="shared" si="30"/>
        <v>Chronic</v>
      </c>
      <c r="AC63" s="118">
        <f>VLOOKUP(AB63,'Conversion tables'!$C$22:$E$23,2,FALSE)</f>
        <v>1</v>
      </c>
      <c r="AD63" s="118">
        <f t="shared" si="31"/>
        <v>1.44918244</v>
      </c>
      <c r="AE63" s="50"/>
      <c r="AF63" s="81" t="str">
        <f t="shared" si="32"/>
        <v>Lemna minor</v>
      </c>
      <c r="AG63" s="81" t="str">
        <f t="shared" si="33"/>
        <v>EC10</v>
      </c>
      <c r="AH63" s="81" t="str">
        <f t="shared" si="34"/>
        <v>Chronic</v>
      </c>
      <c r="AI63" s="81">
        <f>VLOOKUP(SUM(Z63,AC63),'Conversion tables'!$J$5:$K$11,2,FALSE)</f>
        <v>1</v>
      </c>
      <c r="AJ63" s="81" t="str">
        <f t="shared" si="25"/>
        <v>YES!!!</v>
      </c>
      <c r="AK63" s="80" t="str">
        <f>N63</f>
        <v>Frond area</v>
      </c>
      <c r="AL63" s="81" t="s">
        <v>185</v>
      </c>
      <c r="AM63" s="81" t="str">
        <f>CONCATENATE(P63," ",Q63)</f>
        <v>7 Days</v>
      </c>
      <c r="AN63" s="81" t="s">
        <v>187</v>
      </c>
      <c r="AO63" s="2"/>
      <c r="AP63" s="81">
        <f>AD63</f>
        <v>1.44918244</v>
      </c>
      <c r="AQ63" s="6"/>
      <c r="AR63" s="6"/>
      <c r="AS63" s="6"/>
      <c r="AT63" s="6"/>
      <c r="AU63" s="6"/>
      <c r="AV63" s="6"/>
      <c r="AW63" s="80"/>
      <c r="AX63" s="6"/>
      <c r="AY63" s="6"/>
      <c r="AZ63" s="6"/>
      <c r="BA63" s="6"/>
      <c r="BB63" s="6"/>
      <c r="BC63" s="6"/>
      <c r="BD63" s="89"/>
      <c r="BE63" s="89"/>
    </row>
    <row r="64" spans="1:65" s="77" customFormat="1" thickTop="1" thickBot="1" x14ac:dyDescent="0.25">
      <c r="A64" s="118">
        <v>1258</v>
      </c>
      <c r="B64" s="118" t="s">
        <v>276</v>
      </c>
      <c r="C64" s="2"/>
      <c r="D64" s="118" t="s">
        <v>95</v>
      </c>
      <c r="E64" s="118" t="s">
        <v>127</v>
      </c>
      <c r="F64" s="118" t="s">
        <v>106</v>
      </c>
      <c r="G64" s="118" t="s">
        <v>107</v>
      </c>
      <c r="H64" s="118" t="s">
        <v>108</v>
      </c>
      <c r="I64" s="118" t="s">
        <v>18</v>
      </c>
      <c r="J64" s="118" t="s">
        <v>98</v>
      </c>
      <c r="K64" s="2"/>
      <c r="L64" s="118" t="s">
        <v>128</v>
      </c>
      <c r="M64" s="68" t="s">
        <v>174</v>
      </c>
      <c r="N64" s="81" t="s">
        <v>277</v>
      </c>
      <c r="O64" s="118" t="s">
        <v>25</v>
      </c>
      <c r="P64" s="118">
        <v>7</v>
      </c>
      <c r="Q64" s="118" t="s">
        <v>110</v>
      </c>
      <c r="R64" s="118" t="s">
        <v>16</v>
      </c>
      <c r="S64" s="2"/>
      <c r="T64" s="78">
        <v>0.5</v>
      </c>
      <c r="U64" s="118" t="s">
        <v>152</v>
      </c>
      <c r="V64" s="98">
        <v>381.36380000000003</v>
      </c>
      <c r="W64" s="97">
        <f t="shared" si="27"/>
        <v>0.19068190000000002</v>
      </c>
      <c r="X64" s="6"/>
      <c r="Y64" s="118" t="str">
        <f t="shared" si="28"/>
        <v>EC10</v>
      </c>
      <c r="Z64" s="118">
        <f>VLOOKUP(Y64,'Conversion tables'!$C$5:$E$19,2,FALSE)</f>
        <v>1</v>
      </c>
      <c r="AA64" s="118">
        <f t="shared" si="29"/>
        <v>0.19068190000000002</v>
      </c>
      <c r="AB64" s="118" t="str">
        <f t="shared" si="30"/>
        <v>Chronic</v>
      </c>
      <c r="AC64" s="118">
        <f>VLOOKUP(AB64,'Conversion tables'!$C$22:$E$23,2,FALSE)</f>
        <v>1</v>
      </c>
      <c r="AD64" s="118">
        <f t="shared" si="31"/>
        <v>0.19068190000000002</v>
      </c>
      <c r="AE64" s="50"/>
      <c r="AF64" s="81" t="str">
        <f t="shared" si="32"/>
        <v>Lemna minor</v>
      </c>
      <c r="AG64" s="81" t="str">
        <f t="shared" si="33"/>
        <v>EC10</v>
      </c>
      <c r="AH64" s="81" t="str">
        <f t="shared" si="34"/>
        <v>Chronic</v>
      </c>
      <c r="AI64" s="81">
        <f>VLOOKUP(SUM(Z64,AC64),'Conversion tables'!$J$5:$K$11,2,FALSE)</f>
        <v>1</v>
      </c>
      <c r="AJ64" s="81" t="str">
        <f t="shared" si="25"/>
        <v>YES!!!</v>
      </c>
      <c r="AK64" s="80" t="str">
        <f>N64</f>
        <v>Frond area</v>
      </c>
      <c r="AL64" s="81" t="s">
        <v>185</v>
      </c>
      <c r="AM64" s="81" t="str">
        <f>CONCATENATE(P64," ",Q64)</f>
        <v>7 Days</v>
      </c>
      <c r="AN64" s="81" t="s">
        <v>187</v>
      </c>
      <c r="AO64" s="2"/>
      <c r="AP64" s="81">
        <f>AD64</f>
        <v>0.19068190000000002</v>
      </c>
      <c r="AQ64" s="6"/>
      <c r="AR64" s="6"/>
      <c r="AS64" s="6"/>
      <c r="AT64" s="6"/>
      <c r="AU64" s="6"/>
      <c r="AV64" s="6"/>
      <c r="AW64" s="80"/>
      <c r="AX64" s="6"/>
      <c r="AY64" s="6"/>
      <c r="AZ64" s="6"/>
      <c r="BA64" s="6"/>
      <c r="BB64" s="6"/>
      <c r="BC64" s="6"/>
      <c r="BD64" s="89"/>
      <c r="BE64" s="89"/>
    </row>
    <row r="65" spans="1:66" s="77" customFormat="1" thickTop="1" thickBot="1" x14ac:dyDescent="0.25">
      <c r="A65" s="118">
        <v>1259</v>
      </c>
      <c r="B65" s="118" t="s">
        <v>281</v>
      </c>
      <c r="D65" s="118" t="s">
        <v>95</v>
      </c>
      <c r="E65" s="118" t="s">
        <v>127</v>
      </c>
      <c r="F65" s="118" t="s">
        <v>106</v>
      </c>
      <c r="G65" s="118" t="s">
        <v>107</v>
      </c>
      <c r="H65" s="118" t="s">
        <v>108</v>
      </c>
      <c r="I65" s="118" t="s">
        <v>18</v>
      </c>
      <c r="J65" s="118" t="s">
        <v>98</v>
      </c>
      <c r="L65" s="118" t="s">
        <v>200</v>
      </c>
      <c r="M65" s="68" t="s">
        <v>174</v>
      </c>
      <c r="N65" s="81" t="s">
        <v>282</v>
      </c>
      <c r="O65" s="118" t="s">
        <v>15</v>
      </c>
      <c r="P65" s="118">
        <v>6</v>
      </c>
      <c r="Q65" s="118" t="s">
        <v>110</v>
      </c>
      <c r="R65" s="118" t="s">
        <v>16</v>
      </c>
      <c r="T65" s="68">
        <v>11.95</v>
      </c>
      <c r="U65" s="118" t="s">
        <v>67</v>
      </c>
      <c r="V65" s="118">
        <f>VLOOKUP(U65,'Conversion tables'!$M$5:$O$8,3,FALSE)</f>
        <v>1</v>
      </c>
      <c r="W65" s="118">
        <f t="shared" ref="W65:W70" si="35">V65*T65</f>
        <v>11.95</v>
      </c>
      <c r="X65" s="76"/>
      <c r="Y65" s="118" t="str">
        <f t="shared" si="28"/>
        <v>EC50</v>
      </c>
      <c r="Z65" s="118">
        <f>VLOOKUP(Y65,'Conversion tables'!$C$5:$E$19,2,FALSE)</f>
        <v>5</v>
      </c>
      <c r="AA65" s="118">
        <f t="shared" si="29"/>
        <v>2.3899999999999997</v>
      </c>
      <c r="AB65" s="118" t="str">
        <f t="shared" si="30"/>
        <v>Chronic</v>
      </c>
      <c r="AC65" s="118">
        <f>VLOOKUP(AB65,'Conversion tables'!$C$22:$E$23,2,FALSE)</f>
        <v>1</v>
      </c>
      <c r="AD65" s="118">
        <f t="shared" si="31"/>
        <v>2.3899999999999997</v>
      </c>
      <c r="AE65" s="72"/>
      <c r="AF65" s="81" t="str">
        <f t="shared" ref="AF65:AF70" si="36">E65</f>
        <v>Lemna minor</v>
      </c>
      <c r="AG65" s="81" t="str">
        <f t="shared" ref="AG65:AG70" si="37">O65</f>
        <v>EC50</v>
      </c>
      <c r="AH65" s="81" t="str">
        <f t="shared" ref="AH65:AH70" si="38">R65</f>
        <v>Chronic</v>
      </c>
      <c r="AI65" s="81">
        <f>VLOOKUP(SUM(Z65,AC65),'Conversion tables'!$J$5:$K$11,2,FALSE)</f>
        <v>2</v>
      </c>
      <c r="AJ65" s="81" t="str">
        <f t="shared" si="25"/>
        <v>Reject</v>
      </c>
      <c r="AK65" s="80"/>
      <c r="AL65" s="81"/>
      <c r="AM65" s="81"/>
      <c r="AN65" s="81"/>
      <c r="AP65" s="81"/>
      <c r="AQ65" s="80"/>
      <c r="AR65" s="80"/>
      <c r="AS65" s="80"/>
      <c r="AT65" s="80"/>
      <c r="AU65" s="80"/>
      <c r="AV65" s="80"/>
      <c r="AW65" s="80"/>
      <c r="AX65" s="80"/>
      <c r="AY65" s="80"/>
      <c r="AZ65" s="80"/>
      <c r="BA65" s="80"/>
      <c r="BB65" s="80"/>
      <c r="BC65" s="80"/>
      <c r="BD65" s="89"/>
      <c r="BE65" s="89"/>
    </row>
    <row r="66" spans="1:66" s="77" customFormat="1" thickTop="1" thickBot="1" x14ac:dyDescent="0.25">
      <c r="A66" s="118">
        <v>1259</v>
      </c>
      <c r="B66" s="118" t="s">
        <v>278</v>
      </c>
      <c r="D66" s="118" t="s">
        <v>95</v>
      </c>
      <c r="E66" s="118" t="s">
        <v>127</v>
      </c>
      <c r="F66" s="118" t="s">
        <v>106</v>
      </c>
      <c r="G66" s="118" t="s">
        <v>107</v>
      </c>
      <c r="H66" s="118" t="s">
        <v>108</v>
      </c>
      <c r="I66" s="118" t="s">
        <v>18</v>
      </c>
      <c r="J66" s="118" t="s">
        <v>98</v>
      </c>
      <c r="L66" s="118" t="s">
        <v>200</v>
      </c>
      <c r="M66" s="68" t="s">
        <v>174</v>
      </c>
      <c r="N66" s="81" t="s">
        <v>282</v>
      </c>
      <c r="O66" s="118" t="s">
        <v>15</v>
      </c>
      <c r="P66" s="118">
        <v>9</v>
      </c>
      <c r="Q66" s="118" t="s">
        <v>110</v>
      </c>
      <c r="R66" s="118" t="s">
        <v>16</v>
      </c>
      <c r="T66" s="68">
        <v>6.18</v>
      </c>
      <c r="U66" s="118" t="s">
        <v>67</v>
      </c>
      <c r="V66" s="118">
        <f>VLOOKUP(U66,'Conversion tables'!$M$5:$O$8,3,FALSE)</f>
        <v>1</v>
      </c>
      <c r="W66" s="118">
        <f t="shared" si="35"/>
        <v>6.18</v>
      </c>
      <c r="X66" s="76"/>
      <c r="Y66" s="118" t="str">
        <f t="shared" si="28"/>
        <v>EC50</v>
      </c>
      <c r="Z66" s="118">
        <f>VLOOKUP(Y66,'Conversion tables'!$C$5:$E$19,2,FALSE)</f>
        <v>5</v>
      </c>
      <c r="AA66" s="118">
        <f t="shared" si="29"/>
        <v>1.236</v>
      </c>
      <c r="AB66" s="118" t="str">
        <f t="shared" si="30"/>
        <v>Chronic</v>
      </c>
      <c r="AC66" s="118">
        <f>VLOOKUP(AB66,'Conversion tables'!$C$22:$E$23,2,FALSE)</f>
        <v>1</v>
      </c>
      <c r="AD66" s="118">
        <f t="shared" si="31"/>
        <v>1.236</v>
      </c>
      <c r="AE66" s="72"/>
      <c r="AF66" s="81" t="str">
        <f t="shared" si="36"/>
        <v>Lemna minor</v>
      </c>
      <c r="AG66" s="81" t="str">
        <f t="shared" si="37"/>
        <v>EC50</v>
      </c>
      <c r="AH66" s="81" t="str">
        <f t="shared" si="38"/>
        <v>Chronic</v>
      </c>
      <c r="AI66" s="81">
        <f>VLOOKUP(SUM(Z66,AC66),'Conversion tables'!$J$5:$K$11,2,FALSE)</f>
        <v>2</v>
      </c>
      <c r="AJ66" s="81" t="str">
        <f t="shared" si="25"/>
        <v>Reject</v>
      </c>
      <c r="AK66" s="80"/>
      <c r="AL66" s="81"/>
      <c r="AM66" s="81"/>
      <c r="AN66" s="81"/>
      <c r="AP66" s="81"/>
      <c r="AQ66" s="80"/>
      <c r="AR66" s="80"/>
      <c r="AS66" s="80"/>
      <c r="AT66" s="80"/>
      <c r="AU66" s="80"/>
      <c r="AV66" s="80"/>
      <c r="AW66" s="80"/>
      <c r="AX66" s="80"/>
      <c r="AY66" s="80"/>
      <c r="AZ66" s="80"/>
      <c r="BA66" s="80"/>
      <c r="BB66" s="80"/>
      <c r="BC66" s="80"/>
      <c r="BD66" s="89"/>
      <c r="BE66" s="89"/>
    </row>
    <row r="67" spans="1:66" s="77" customFormat="1" thickTop="1" thickBot="1" x14ac:dyDescent="0.25">
      <c r="A67" s="118">
        <v>1259</v>
      </c>
      <c r="B67" s="118" t="s">
        <v>279</v>
      </c>
      <c r="D67" s="118" t="s">
        <v>95</v>
      </c>
      <c r="E67" s="118" t="s">
        <v>127</v>
      </c>
      <c r="F67" s="118" t="s">
        <v>106</v>
      </c>
      <c r="G67" s="118" t="s">
        <v>107</v>
      </c>
      <c r="H67" s="118" t="s">
        <v>108</v>
      </c>
      <c r="I67" s="118" t="s">
        <v>18</v>
      </c>
      <c r="J67" s="118" t="s">
        <v>98</v>
      </c>
      <c r="L67" s="118" t="s">
        <v>200</v>
      </c>
      <c r="M67" s="68" t="s">
        <v>174</v>
      </c>
      <c r="N67" s="81" t="s">
        <v>282</v>
      </c>
      <c r="O67" s="118" t="s">
        <v>15</v>
      </c>
      <c r="P67" s="118">
        <v>12</v>
      </c>
      <c r="Q67" s="118" t="s">
        <v>110</v>
      </c>
      <c r="R67" s="118" t="s">
        <v>16</v>
      </c>
      <c r="T67" s="68">
        <v>2.61</v>
      </c>
      <c r="U67" s="118" t="s">
        <v>67</v>
      </c>
      <c r="V67" s="118">
        <f>VLOOKUP(U67,'Conversion tables'!$M$5:$O$8,3,FALSE)</f>
        <v>1</v>
      </c>
      <c r="W67" s="118">
        <f t="shared" si="35"/>
        <v>2.61</v>
      </c>
      <c r="X67" s="76"/>
      <c r="Y67" s="118" t="str">
        <f t="shared" si="28"/>
        <v>EC50</v>
      </c>
      <c r="Z67" s="118">
        <f>VLOOKUP(Y67,'Conversion tables'!$C$5:$E$19,2,FALSE)</f>
        <v>5</v>
      </c>
      <c r="AA67" s="118">
        <f t="shared" si="29"/>
        <v>0.52200000000000002</v>
      </c>
      <c r="AB67" s="118" t="str">
        <f t="shared" si="30"/>
        <v>Chronic</v>
      </c>
      <c r="AC67" s="118">
        <f>VLOOKUP(AB67,'Conversion tables'!$C$22:$E$23,2,FALSE)</f>
        <v>1</v>
      </c>
      <c r="AD67" s="118">
        <f t="shared" si="31"/>
        <v>0.52200000000000002</v>
      </c>
      <c r="AE67" s="72"/>
      <c r="AF67" s="81" t="str">
        <f t="shared" si="36"/>
        <v>Lemna minor</v>
      </c>
      <c r="AG67" s="81" t="str">
        <f t="shared" si="37"/>
        <v>EC50</v>
      </c>
      <c r="AH67" s="81" t="str">
        <f t="shared" si="38"/>
        <v>Chronic</v>
      </c>
      <c r="AI67" s="81">
        <f>VLOOKUP(SUM(Z67,AC67),'Conversion tables'!$J$5:$K$11,2,FALSE)</f>
        <v>2</v>
      </c>
      <c r="AJ67" s="81" t="str">
        <f t="shared" si="25"/>
        <v>Reject</v>
      </c>
      <c r="AK67" s="80"/>
      <c r="AL67" s="81"/>
      <c r="AM67" s="81"/>
      <c r="AN67" s="81"/>
      <c r="AP67" s="81"/>
      <c r="AQ67" s="80"/>
      <c r="AR67" s="80"/>
      <c r="AS67" s="80"/>
      <c r="AT67" s="80"/>
      <c r="AU67" s="80"/>
      <c r="AV67" s="80"/>
      <c r="AW67" s="80"/>
      <c r="AX67" s="80"/>
      <c r="AY67" s="80"/>
      <c r="AZ67" s="80"/>
      <c r="BA67" s="80"/>
      <c r="BB67" s="80"/>
      <c r="BC67" s="80"/>
      <c r="BD67" s="89"/>
      <c r="BE67" s="89"/>
    </row>
    <row r="68" spans="1:66" s="77" customFormat="1" thickTop="1" thickBot="1" x14ac:dyDescent="0.25">
      <c r="A68" s="118">
        <v>1259</v>
      </c>
      <c r="B68" s="118" t="s">
        <v>280</v>
      </c>
      <c r="D68" s="118" t="s">
        <v>95</v>
      </c>
      <c r="E68" s="118" t="s">
        <v>127</v>
      </c>
      <c r="F68" s="118" t="s">
        <v>106</v>
      </c>
      <c r="G68" s="118" t="s">
        <v>107</v>
      </c>
      <c r="H68" s="118" t="s">
        <v>108</v>
      </c>
      <c r="I68" s="118" t="s">
        <v>18</v>
      </c>
      <c r="J68" s="118" t="s">
        <v>98</v>
      </c>
      <c r="L68" s="118" t="s">
        <v>200</v>
      </c>
      <c r="M68" s="68" t="s">
        <v>174</v>
      </c>
      <c r="N68" s="81" t="s">
        <v>282</v>
      </c>
      <c r="O68" s="118" t="s">
        <v>15</v>
      </c>
      <c r="P68" s="118">
        <v>15</v>
      </c>
      <c r="Q68" s="118" t="s">
        <v>110</v>
      </c>
      <c r="R68" s="118" t="s">
        <v>16</v>
      </c>
      <c r="T68" s="68">
        <v>2.4300000000000002</v>
      </c>
      <c r="U68" s="118" t="s">
        <v>67</v>
      </c>
      <c r="V68" s="118">
        <f>VLOOKUP(U68,'Conversion tables'!$M$5:$O$8,3,FALSE)</f>
        <v>1</v>
      </c>
      <c r="W68" s="118">
        <f t="shared" si="35"/>
        <v>2.4300000000000002</v>
      </c>
      <c r="X68" s="76"/>
      <c r="Y68" s="118" t="str">
        <f t="shared" si="28"/>
        <v>EC50</v>
      </c>
      <c r="Z68" s="118">
        <f>VLOOKUP(Y68,'Conversion tables'!$C$5:$E$19,2,FALSE)</f>
        <v>5</v>
      </c>
      <c r="AA68" s="118">
        <f t="shared" si="29"/>
        <v>0.48600000000000004</v>
      </c>
      <c r="AB68" s="118" t="str">
        <f t="shared" si="30"/>
        <v>Chronic</v>
      </c>
      <c r="AC68" s="118">
        <f>VLOOKUP(AB68,'Conversion tables'!$C$22:$E$23,2,FALSE)</f>
        <v>1</v>
      </c>
      <c r="AD68" s="118">
        <f t="shared" si="31"/>
        <v>0.48600000000000004</v>
      </c>
      <c r="AE68" s="72"/>
      <c r="AF68" s="81" t="str">
        <f t="shared" si="36"/>
        <v>Lemna minor</v>
      </c>
      <c r="AG68" s="81" t="str">
        <f t="shared" si="37"/>
        <v>EC50</v>
      </c>
      <c r="AH68" s="81" t="str">
        <f t="shared" si="38"/>
        <v>Chronic</v>
      </c>
      <c r="AI68" s="81">
        <f>VLOOKUP(SUM(Z68,AC68),'Conversion tables'!$J$5:$K$11,2,FALSE)</f>
        <v>2</v>
      </c>
      <c r="AJ68" s="81" t="str">
        <f t="shared" si="25"/>
        <v>Reject</v>
      </c>
      <c r="AK68" s="80"/>
      <c r="AL68" s="81"/>
      <c r="AM68" s="81"/>
      <c r="AN68" s="81"/>
      <c r="AP68" s="81"/>
      <c r="AQ68" s="80"/>
      <c r="AR68" s="80"/>
      <c r="AS68" s="80"/>
      <c r="AT68" s="80"/>
      <c r="AU68" s="80"/>
      <c r="AV68" s="80"/>
      <c r="AW68" s="80"/>
      <c r="AX68" s="80"/>
      <c r="AY68" s="80"/>
      <c r="AZ68" s="80"/>
      <c r="BA68" s="80"/>
      <c r="BB68" s="80"/>
      <c r="BC68" s="80"/>
      <c r="BD68" s="89"/>
      <c r="BE68" s="89"/>
    </row>
    <row r="69" spans="1:66" s="77" customFormat="1" thickTop="1" thickBot="1" x14ac:dyDescent="0.25">
      <c r="A69" s="118">
        <v>856</v>
      </c>
      <c r="B69" s="118" t="s">
        <v>268</v>
      </c>
      <c r="D69" s="118" t="s">
        <v>95</v>
      </c>
      <c r="E69" s="118" t="s">
        <v>127</v>
      </c>
      <c r="F69" s="118" t="s">
        <v>106</v>
      </c>
      <c r="G69" s="118" t="s">
        <v>107</v>
      </c>
      <c r="H69" s="118" t="s">
        <v>108</v>
      </c>
      <c r="I69" s="118" t="s">
        <v>18</v>
      </c>
      <c r="J69" s="118" t="s">
        <v>98</v>
      </c>
      <c r="L69" s="118" t="s">
        <v>289</v>
      </c>
      <c r="M69" s="68" t="s">
        <v>174</v>
      </c>
      <c r="N69" s="68" t="s">
        <v>239</v>
      </c>
      <c r="O69" s="118" t="s">
        <v>15</v>
      </c>
      <c r="P69" s="118">
        <v>96</v>
      </c>
      <c r="Q69" s="118" t="s">
        <v>160</v>
      </c>
      <c r="R69" s="118" t="s">
        <v>49</v>
      </c>
      <c r="T69" s="68">
        <v>0.4</v>
      </c>
      <c r="U69" s="118" t="s">
        <v>67</v>
      </c>
      <c r="V69" s="118">
        <f>VLOOKUP(U69,'Conversion tables'!$M$5:$O$8,3,FALSE)</f>
        <v>1</v>
      </c>
      <c r="W69" s="118">
        <f t="shared" si="35"/>
        <v>0.4</v>
      </c>
      <c r="X69" s="76"/>
      <c r="Y69" s="118" t="str">
        <f>O69</f>
        <v>EC50</v>
      </c>
      <c r="Z69" s="118">
        <f>VLOOKUP(Y69,'Conversion tables'!$C$5:$E$19,2,FALSE)</f>
        <v>5</v>
      </c>
      <c r="AA69" s="118">
        <f>W69/Z69</f>
        <v>0.08</v>
      </c>
      <c r="AB69" s="118" t="str">
        <f>R69</f>
        <v>Acute</v>
      </c>
      <c r="AC69" s="118">
        <f>VLOOKUP(AB69,'Conversion tables'!$C$22:$E$23,2,FALSE)</f>
        <v>2</v>
      </c>
      <c r="AD69" s="118">
        <f>AA69/AC69</f>
        <v>0.04</v>
      </c>
      <c r="AE69" s="72"/>
      <c r="AF69" s="81" t="str">
        <f t="shared" si="36"/>
        <v>Lemna minor</v>
      </c>
      <c r="AG69" s="81" t="str">
        <f t="shared" si="37"/>
        <v>EC50</v>
      </c>
      <c r="AH69" s="81" t="str">
        <f t="shared" si="38"/>
        <v>Acute</v>
      </c>
      <c r="AI69" s="81">
        <f>VLOOKUP(SUM(Z69,AC69),'Conversion tables'!$J$5:$K$11,2,FALSE)</f>
        <v>4</v>
      </c>
      <c r="AJ69" s="81" t="str">
        <f>IF(AI69=MIN($AI$45:$AI$70),"YES!!!","Reject")</f>
        <v>Reject</v>
      </c>
      <c r="AK69" s="80"/>
      <c r="AL69" s="81"/>
      <c r="AM69" s="81"/>
      <c r="AN69" s="81"/>
      <c r="AP69" s="81"/>
      <c r="AQ69" s="80"/>
      <c r="AR69" s="80"/>
      <c r="AS69" s="80"/>
      <c r="AT69" s="80"/>
      <c r="AU69" s="80"/>
      <c r="AV69" s="80"/>
      <c r="AW69" s="80"/>
      <c r="AX69" s="80"/>
      <c r="AY69" s="80"/>
      <c r="AZ69" s="80"/>
      <c r="BA69" s="80"/>
      <c r="BB69" s="80"/>
      <c r="BC69" s="80"/>
      <c r="BD69" s="89"/>
      <c r="BE69" s="89"/>
    </row>
    <row r="70" spans="1:66" s="77" customFormat="1" thickTop="1" thickBot="1" x14ac:dyDescent="0.25">
      <c r="A70" s="118">
        <v>856</v>
      </c>
      <c r="B70" s="118" t="s">
        <v>268</v>
      </c>
      <c r="D70" s="118" t="s">
        <v>95</v>
      </c>
      <c r="E70" s="118" t="s">
        <v>127</v>
      </c>
      <c r="F70" s="118" t="s">
        <v>106</v>
      </c>
      <c r="G70" s="118" t="s">
        <v>107</v>
      </c>
      <c r="H70" s="118" t="s">
        <v>108</v>
      </c>
      <c r="I70" s="118" t="s">
        <v>18</v>
      </c>
      <c r="J70" s="118" t="s">
        <v>98</v>
      </c>
      <c r="L70" s="118" t="s">
        <v>289</v>
      </c>
      <c r="M70" s="68" t="s">
        <v>174</v>
      </c>
      <c r="N70" s="68" t="s">
        <v>239</v>
      </c>
      <c r="O70" s="118" t="s">
        <v>22</v>
      </c>
      <c r="P70" s="118">
        <v>96</v>
      </c>
      <c r="Q70" s="118" t="s">
        <v>160</v>
      </c>
      <c r="R70" s="118" t="s">
        <v>49</v>
      </c>
      <c r="T70" s="68">
        <v>0.2</v>
      </c>
      <c r="U70" s="118" t="s">
        <v>67</v>
      </c>
      <c r="V70" s="118">
        <f>VLOOKUP(U70,'Conversion tables'!$M$5:$O$8,3,FALSE)</f>
        <v>1</v>
      </c>
      <c r="W70" s="118">
        <f t="shared" si="35"/>
        <v>0.2</v>
      </c>
      <c r="X70" s="76"/>
      <c r="Y70" s="118" t="str">
        <f>O70</f>
        <v>LOEC</v>
      </c>
      <c r="Z70" s="118">
        <f>VLOOKUP(Y70,'Conversion tables'!$C$5:$E$19,2,FALSE)</f>
        <v>2.5</v>
      </c>
      <c r="AA70" s="118">
        <f>W70/Z70</f>
        <v>0.08</v>
      </c>
      <c r="AB70" s="118" t="str">
        <f>R70</f>
        <v>Acute</v>
      </c>
      <c r="AC70" s="118">
        <f>VLOOKUP(AB70,'Conversion tables'!$C$22:$E$23,2,FALSE)</f>
        <v>2</v>
      </c>
      <c r="AD70" s="118">
        <f>AA70/AC70</f>
        <v>0.04</v>
      </c>
      <c r="AE70" s="72"/>
      <c r="AF70" s="81" t="str">
        <f t="shared" si="36"/>
        <v>Lemna minor</v>
      </c>
      <c r="AG70" s="81" t="str">
        <f t="shared" si="37"/>
        <v>LOEC</v>
      </c>
      <c r="AH70" s="81" t="str">
        <f t="shared" si="38"/>
        <v>Acute</v>
      </c>
      <c r="AI70" s="81">
        <f>VLOOKUP(SUM(Z70,AC70),'Conversion tables'!$J$5:$K$11,2,FALSE)</f>
        <v>4</v>
      </c>
      <c r="AJ70" s="81" t="str">
        <f t="shared" si="25"/>
        <v>Reject</v>
      </c>
      <c r="AK70" s="80"/>
      <c r="AL70" s="81"/>
      <c r="AM70" s="81"/>
      <c r="AN70" s="81"/>
      <c r="AP70" s="81"/>
      <c r="AQ70" s="80"/>
      <c r="AR70" s="80"/>
      <c r="AS70" s="80"/>
      <c r="AT70" s="80"/>
      <c r="AU70" s="80"/>
      <c r="AV70" s="80"/>
      <c r="AW70" s="80"/>
      <c r="AX70" s="80"/>
      <c r="AY70" s="80"/>
      <c r="AZ70" s="80"/>
      <c r="BA70" s="80"/>
      <c r="BB70" s="80"/>
      <c r="BC70" s="80"/>
      <c r="BD70" s="89"/>
      <c r="BE70" s="89"/>
    </row>
    <row r="71" spans="1:66" s="77" customFormat="1" thickTop="1" thickBot="1" x14ac:dyDescent="0.25">
      <c r="A71" s="71"/>
      <c r="B71" s="71"/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84"/>
      <c r="U71" s="84"/>
      <c r="V71" s="84"/>
      <c r="W71" s="84"/>
      <c r="X71" s="72"/>
      <c r="Y71" s="72"/>
      <c r="Z71" s="72"/>
      <c r="AA71" s="72"/>
      <c r="AB71" s="72"/>
      <c r="AC71" s="72"/>
      <c r="AD71" s="72"/>
      <c r="AE71" s="72"/>
      <c r="AF71" s="84"/>
      <c r="AG71" s="72"/>
      <c r="AH71" s="72"/>
      <c r="AI71" s="72"/>
      <c r="AJ71" s="84"/>
      <c r="AK71" s="72"/>
      <c r="AL71" s="84"/>
      <c r="AM71" s="84"/>
      <c r="AN71" s="84"/>
      <c r="AO71" s="72"/>
      <c r="AP71" s="84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88"/>
      <c r="BD71" s="89"/>
      <c r="BE71" s="89"/>
      <c r="BF71" s="61"/>
      <c r="BG71" s="61"/>
      <c r="BH71" s="61"/>
      <c r="BI71" s="61"/>
      <c r="BJ71" s="61"/>
      <c r="BK71" s="62"/>
    </row>
    <row r="72" spans="1:66" s="77" customFormat="1" thickTop="1" thickBot="1" x14ac:dyDescent="0.25">
      <c r="A72" s="86" t="s">
        <v>201</v>
      </c>
      <c r="B72" s="86" t="s">
        <v>203</v>
      </c>
      <c r="C72" s="86"/>
      <c r="D72" s="86" t="s">
        <v>95</v>
      </c>
      <c r="E72" s="118" t="s">
        <v>204</v>
      </c>
      <c r="F72" s="105" t="s">
        <v>106</v>
      </c>
      <c r="G72" s="105" t="s">
        <v>107</v>
      </c>
      <c r="H72" s="105" t="s">
        <v>108</v>
      </c>
      <c r="I72" s="105" t="s">
        <v>18</v>
      </c>
      <c r="J72" s="86" t="s">
        <v>98</v>
      </c>
      <c r="K72" s="86"/>
      <c r="L72" s="86" t="s">
        <v>200</v>
      </c>
      <c r="M72" s="68" t="s">
        <v>178</v>
      </c>
      <c r="N72" s="68" t="s">
        <v>236</v>
      </c>
      <c r="O72" s="86" t="s">
        <v>15</v>
      </c>
      <c r="P72" s="86">
        <v>14</v>
      </c>
      <c r="Q72" s="86" t="s">
        <v>110</v>
      </c>
      <c r="R72" s="86" t="s">
        <v>16</v>
      </c>
      <c r="S72" s="86"/>
      <c r="T72" s="86">
        <v>10.44</v>
      </c>
      <c r="U72" s="86" t="s">
        <v>67</v>
      </c>
      <c r="V72" s="86">
        <f>VLOOKUP(U72,'Conversion tables'!$M$5:$O$8,3,FALSE)</f>
        <v>1</v>
      </c>
      <c r="W72" s="86">
        <f>V72*T72</f>
        <v>10.44</v>
      </c>
      <c r="X72" s="86"/>
      <c r="Y72" s="86" t="str">
        <f>O72</f>
        <v>EC50</v>
      </c>
      <c r="Z72" s="118">
        <f>VLOOKUP(Y72,'Conversion tables'!$C$5:$E$19,2,FALSE)</f>
        <v>5</v>
      </c>
      <c r="AA72" s="86">
        <f>W72/Z72</f>
        <v>2.0880000000000001</v>
      </c>
      <c r="AB72" s="86" t="str">
        <f>R72</f>
        <v>Chronic</v>
      </c>
      <c r="AC72" s="86">
        <f>VLOOKUP(AB72,'Conversion tables'!$C$22:$E$23,2,FALSE)</f>
        <v>1</v>
      </c>
      <c r="AD72" s="86">
        <f>AA72/AC72</f>
        <v>2.0880000000000001</v>
      </c>
      <c r="AE72" s="72"/>
      <c r="AF72" s="81" t="str">
        <f>E72</f>
        <v>Lemna trisulca</v>
      </c>
      <c r="AG72" s="81" t="str">
        <f>O72</f>
        <v>EC50</v>
      </c>
      <c r="AH72" s="81" t="str">
        <f>R72</f>
        <v>Chronic</v>
      </c>
      <c r="AI72" s="81">
        <f>VLOOKUP(SUM(Z72,AC72),'Conversion tables'!$J$5:$K$11,2,FALSE)</f>
        <v>2</v>
      </c>
      <c r="AJ72" s="81" t="str">
        <f>IF(AI72=MIN($AI$72),"YES!!!","Reject")</f>
        <v>YES!!!</v>
      </c>
      <c r="AK72" s="80" t="str">
        <f>N72</f>
        <v>Fresh Weight:Dry Weight</v>
      </c>
      <c r="AL72" s="68" t="s">
        <v>185</v>
      </c>
      <c r="AM72" s="81" t="str">
        <f>CONCATENATE(P72," ",Q72)</f>
        <v>14 Days</v>
      </c>
      <c r="AN72" s="81" t="s">
        <v>187</v>
      </c>
      <c r="AO72" s="76"/>
      <c r="AP72" s="81">
        <f>AD72</f>
        <v>2.0880000000000001</v>
      </c>
      <c r="AQ72" s="80">
        <f>GEOMEAN(AP72)</f>
        <v>2.0880000000000001</v>
      </c>
      <c r="AR72" s="118">
        <f>MIN(AQ72)</f>
        <v>2.0880000000000001</v>
      </c>
      <c r="AS72" s="118">
        <f>MIN(AR72:AR73)</f>
        <v>0.124</v>
      </c>
      <c r="AT72" s="147" t="s">
        <v>290</v>
      </c>
      <c r="AU72" s="76"/>
      <c r="AV72" s="76"/>
      <c r="AW72" s="76" t="str">
        <f>H72</f>
        <v>Macrophyte</v>
      </c>
      <c r="AX72" s="76" t="str">
        <f>E72</f>
        <v>Lemna trisulca</v>
      </c>
      <c r="AY72" s="76" t="str">
        <f>F72</f>
        <v>Tracheophyta</v>
      </c>
      <c r="AZ72" s="76" t="str">
        <f>G72</f>
        <v>Liliopsida</v>
      </c>
      <c r="BA72" s="76" t="str">
        <f>I72</f>
        <v>Phototroph</v>
      </c>
      <c r="BB72" s="76">
        <f>AI72</f>
        <v>2</v>
      </c>
      <c r="BC72" s="80">
        <f>AS72</f>
        <v>0.124</v>
      </c>
      <c r="BD72" s="147" t="s">
        <v>290</v>
      </c>
      <c r="BE72" s="89"/>
      <c r="BF72" s="61"/>
      <c r="BG72" s="61"/>
      <c r="BH72" s="61"/>
      <c r="BI72" s="61"/>
      <c r="BJ72" s="61"/>
      <c r="BK72" s="62"/>
    </row>
    <row r="73" spans="1:66" s="77" customFormat="1" thickTop="1" thickBot="1" x14ac:dyDescent="0.25">
      <c r="A73" s="86" t="s">
        <v>201</v>
      </c>
      <c r="B73" s="86" t="s">
        <v>210</v>
      </c>
      <c r="C73" s="86"/>
      <c r="D73" s="86" t="s">
        <v>95</v>
      </c>
      <c r="E73" s="118" t="s">
        <v>204</v>
      </c>
      <c r="F73" s="105" t="s">
        <v>106</v>
      </c>
      <c r="G73" s="105" t="s">
        <v>107</v>
      </c>
      <c r="H73" s="105" t="s">
        <v>108</v>
      </c>
      <c r="I73" s="105" t="s">
        <v>18</v>
      </c>
      <c r="J73" s="86" t="s">
        <v>98</v>
      </c>
      <c r="K73" s="86"/>
      <c r="L73" s="86" t="s">
        <v>208</v>
      </c>
      <c r="M73" s="68" t="s">
        <v>62</v>
      </c>
      <c r="N73" s="68" t="s">
        <v>235</v>
      </c>
      <c r="O73" s="86" t="s">
        <v>15</v>
      </c>
      <c r="P73" s="86">
        <v>14</v>
      </c>
      <c r="Q73" s="86" t="s">
        <v>110</v>
      </c>
      <c r="R73" s="86" t="s">
        <v>16</v>
      </c>
      <c r="S73" s="86"/>
      <c r="T73" s="86">
        <v>0.62</v>
      </c>
      <c r="U73" s="86" t="s">
        <v>67</v>
      </c>
      <c r="V73" s="86">
        <f>VLOOKUP(U73,'Conversion tables'!$M$5:$O$8,3,FALSE)</f>
        <v>1</v>
      </c>
      <c r="W73" s="86">
        <f>V73*T73</f>
        <v>0.62</v>
      </c>
      <c r="X73" s="86"/>
      <c r="Y73" s="86" t="str">
        <f>O73</f>
        <v>EC50</v>
      </c>
      <c r="Z73" s="118">
        <f>VLOOKUP(Y73,'Conversion tables'!$C$5:$E$19,2,FALSE)</f>
        <v>5</v>
      </c>
      <c r="AA73" s="86">
        <f>W73/Z73</f>
        <v>0.124</v>
      </c>
      <c r="AB73" s="86" t="str">
        <f>R73</f>
        <v>Chronic</v>
      </c>
      <c r="AC73" s="86">
        <f>VLOOKUP(AB73,'Conversion tables'!$C$22:$E$23,2,FALSE)</f>
        <v>1</v>
      </c>
      <c r="AD73" s="86">
        <f>AA73/AC73</f>
        <v>0.124</v>
      </c>
      <c r="AE73" s="72"/>
      <c r="AF73" s="81" t="str">
        <f>E73</f>
        <v>Lemna trisulca</v>
      </c>
      <c r="AG73" s="81" t="str">
        <f>O73</f>
        <v>EC50</v>
      </c>
      <c r="AH73" s="81" t="str">
        <f>R73</f>
        <v>Chronic</v>
      </c>
      <c r="AI73" s="81">
        <f>VLOOKUP(SUM(Z73,AC73),'Conversion tables'!$J$5:$K$11,2,FALSE)</f>
        <v>2</v>
      </c>
      <c r="AJ73" s="81" t="str">
        <f>IF(AI73=MIN($AI$73),"YES!!!","Reject")</f>
        <v>YES!!!</v>
      </c>
      <c r="AK73" s="80" t="str">
        <f>N73</f>
        <v>Leaf Area</v>
      </c>
      <c r="AL73" s="81" t="s">
        <v>186</v>
      </c>
      <c r="AM73" s="81" t="str">
        <f>CONCATENATE(P73," ",Q73)</f>
        <v>14 Days</v>
      </c>
      <c r="AN73" s="81" t="s">
        <v>188</v>
      </c>
      <c r="AP73" s="81">
        <f>AD73</f>
        <v>0.124</v>
      </c>
      <c r="AQ73" s="80">
        <f>GEOMEAN(AP73)</f>
        <v>0.124</v>
      </c>
      <c r="AR73" s="118">
        <f>MIN(AQ73)</f>
        <v>0.124</v>
      </c>
      <c r="AS73" s="80"/>
      <c r="AT73" s="80"/>
      <c r="AU73" s="80"/>
      <c r="AV73" s="80"/>
      <c r="AW73" s="80"/>
      <c r="AX73" s="80"/>
      <c r="AY73" s="80"/>
      <c r="AZ73" s="80"/>
      <c r="BA73" s="80"/>
      <c r="BB73" s="80"/>
      <c r="BC73" s="80"/>
      <c r="BD73" s="89"/>
      <c r="BE73" s="89"/>
      <c r="BF73" s="61"/>
      <c r="BG73" s="61"/>
      <c r="BH73" s="61"/>
      <c r="BI73" s="61"/>
      <c r="BJ73" s="61"/>
      <c r="BK73" s="62"/>
    </row>
    <row r="74" spans="1:66" s="77" customFormat="1" ht="17.25" customHeight="1" thickTop="1" thickBot="1" x14ac:dyDescent="0.25">
      <c r="A74" s="71"/>
      <c r="B74" s="71"/>
      <c r="C74" s="72"/>
      <c r="D74" s="72"/>
      <c r="E74" s="72"/>
      <c r="F74" s="72"/>
      <c r="G74" s="72"/>
      <c r="H74" s="72"/>
      <c r="I74" s="72"/>
      <c r="J74" s="72"/>
      <c r="K74" s="72"/>
      <c r="L74" s="72"/>
      <c r="M74" s="72"/>
      <c r="N74" s="72"/>
      <c r="O74" s="72"/>
      <c r="P74" s="72"/>
      <c r="Q74" s="72"/>
      <c r="R74" s="72"/>
      <c r="S74" s="72"/>
      <c r="T74" s="84"/>
      <c r="U74" s="84"/>
      <c r="V74" s="84"/>
      <c r="W74" s="84"/>
      <c r="X74" s="72"/>
      <c r="Y74" s="72"/>
      <c r="Z74" s="72"/>
      <c r="AA74" s="72"/>
      <c r="AB74" s="72"/>
      <c r="AC74" s="72"/>
      <c r="AD74" s="72"/>
      <c r="AE74" s="72"/>
      <c r="AF74" s="84"/>
      <c r="AG74" s="72"/>
      <c r="AH74" s="72"/>
      <c r="AI74" s="72"/>
      <c r="AJ74" s="84"/>
      <c r="AK74" s="72"/>
      <c r="AL74" s="84"/>
      <c r="AM74" s="84"/>
      <c r="AN74" s="84"/>
      <c r="AO74" s="72"/>
      <c r="AP74" s="84"/>
      <c r="AQ74" s="72"/>
      <c r="AR74" s="72"/>
      <c r="AS74" s="72"/>
      <c r="AT74" s="72"/>
      <c r="AU74" s="72"/>
      <c r="AV74" s="72"/>
      <c r="AW74" s="72"/>
      <c r="AX74" s="72"/>
      <c r="AY74" s="72"/>
      <c r="AZ74" s="72"/>
      <c r="BA74" s="72"/>
      <c r="BB74" s="72"/>
      <c r="BC74" s="88"/>
      <c r="BD74" s="89"/>
      <c r="BE74" s="89"/>
      <c r="BF74" s="61"/>
      <c r="BG74" s="61"/>
      <c r="BH74" s="61"/>
      <c r="BI74" s="61"/>
      <c r="BJ74" s="61"/>
      <c r="BK74" s="62"/>
    </row>
    <row r="75" spans="1:66" s="77" customFormat="1" ht="18" thickTop="1" thickBot="1" x14ac:dyDescent="0.25">
      <c r="A75" s="118">
        <v>866</v>
      </c>
      <c r="B75" s="146" t="s">
        <v>252</v>
      </c>
      <c r="C75" s="118"/>
      <c r="D75" s="118" t="s">
        <v>95</v>
      </c>
      <c r="E75" s="150" t="s">
        <v>251</v>
      </c>
      <c r="F75" s="118" t="s">
        <v>106</v>
      </c>
      <c r="G75" s="118" t="s">
        <v>134</v>
      </c>
      <c r="H75" s="118" t="s">
        <v>108</v>
      </c>
      <c r="I75" s="118" t="s">
        <v>18</v>
      </c>
      <c r="J75" s="118" t="s">
        <v>98</v>
      </c>
      <c r="K75" s="118"/>
      <c r="L75" s="95" t="s">
        <v>255</v>
      </c>
      <c r="M75" s="68" t="s">
        <v>62</v>
      </c>
      <c r="N75" s="68" t="s">
        <v>257</v>
      </c>
      <c r="O75" s="145" t="s">
        <v>22</v>
      </c>
      <c r="P75" s="118">
        <v>14</v>
      </c>
      <c r="Q75" s="118" t="s">
        <v>110</v>
      </c>
      <c r="R75" s="118" t="s">
        <v>16</v>
      </c>
      <c r="S75" s="118"/>
      <c r="T75" s="68">
        <v>2.7</v>
      </c>
      <c r="U75" s="118" t="s">
        <v>67</v>
      </c>
      <c r="V75" s="118">
        <f>VLOOKUP(U75,'Conversion tables'!$M$5:$O$8,3,FALSE)</f>
        <v>1</v>
      </c>
      <c r="W75" s="118">
        <f>V75*T75</f>
        <v>2.7</v>
      </c>
      <c r="X75" s="118"/>
      <c r="Y75" s="118" t="str">
        <f>O75</f>
        <v>LOEC</v>
      </c>
      <c r="Z75" s="118">
        <f>VLOOKUP(Y75,'Conversion tables'!$C$5:$E$19,2,FALSE)</f>
        <v>2.5</v>
      </c>
      <c r="AA75" s="118">
        <f>W75/Z75</f>
        <v>1.08</v>
      </c>
      <c r="AB75" s="118" t="str">
        <f>R75</f>
        <v>Chronic</v>
      </c>
      <c r="AC75" s="118">
        <f>VLOOKUP(AB75,'Conversion tables'!$C$22:$E$23,2,FALSE)</f>
        <v>1</v>
      </c>
      <c r="AD75" s="118">
        <f>AA75/AC75</f>
        <v>1.08</v>
      </c>
      <c r="AE75" s="72"/>
      <c r="AF75" s="81" t="str">
        <f>E75</f>
        <v>Myriophyllum aquaticum</v>
      </c>
      <c r="AG75" s="81" t="str">
        <f>O75</f>
        <v>LOEC</v>
      </c>
      <c r="AH75" s="81" t="str">
        <f>R75</f>
        <v>Chronic</v>
      </c>
      <c r="AI75" s="81">
        <f>VLOOKUP(SUM(Z75,AC75),'Conversion tables'!$J$5:$K$11,2,FALSE)</f>
        <v>2</v>
      </c>
      <c r="AJ75" s="81" t="str">
        <f>IF(AI75=MIN($AI$75:$AI$77),"YES!!!","Reject")</f>
        <v>YES!!!</v>
      </c>
      <c r="AK75" s="80" t="str">
        <f>N75</f>
        <v>Chlorophyll-a content</v>
      </c>
      <c r="AL75" s="68" t="s">
        <v>185</v>
      </c>
      <c r="AM75" s="81" t="str">
        <f>CONCATENATE(P75," ",Q75)</f>
        <v>14 Days</v>
      </c>
      <c r="AN75" s="81" t="s">
        <v>187</v>
      </c>
      <c r="AP75" s="81">
        <f>AD75</f>
        <v>1.08</v>
      </c>
      <c r="AQ75" s="80">
        <f>GEOMEAN(AP75:AP76)</f>
        <v>0.36712940497868052</v>
      </c>
      <c r="AR75" s="118">
        <f>MIN(AQ75)</f>
        <v>0.36712940497868052</v>
      </c>
      <c r="AS75" s="118">
        <f>MIN(AR75:AR77)</f>
        <v>0.36712940497868052</v>
      </c>
      <c r="AT75" s="147" t="s">
        <v>290</v>
      </c>
      <c r="AU75" s="80"/>
      <c r="AV75" s="80"/>
      <c r="AW75" s="76" t="str">
        <f>H75</f>
        <v>Macrophyte</v>
      </c>
      <c r="AX75" s="76" t="str">
        <f>E75</f>
        <v>Myriophyllum aquaticum</v>
      </c>
      <c r="AY75" s="76" t="str">
        <f>F75</f>
        <v>Tracheophyta</v>
      </c>
      <c r="AZ75" s="76" t="str">
        <f>G75</f>
        <v>Magnoliopsida</v>
      </c>
      <c r="BA75" s="76" t="str">
        <f>I75</f>
        <v>Phototroph</v>
      </c>
      <c r="BB75" s="76">
        <f>AI75</f>
        <v>2</v>
      </c>
      <c r="BC75" s="80">
        <f>AS75</f>
        <v>0.36712940497868052</v>
      </c>
      <c r="BD75" s="147" t="s">
        <v>290</v>
      </c>
      <c r="BE75" s="89"/>
      <c r="BF75" s="61"/>
      <c r="BG75" s="61"/>
      <c r="BH75" s="61"/>
      <c r="BI75" s="61"/>
      <c r="BJ75" s="61"/>
      <c r="BK75" s="62"/>
    </row>
    <row r="76" spans="1:66" s="77" customFormat="1" ht="18" thickTop="1" thickBot="1" x14ac:dyDescent="0.25">
      <c r="A76" s="118">
        <v>867</v>
      </c>
      <c r="B76" s="146" t="s">
        <v>253</v>
      </c>
      <c r="C76" s="118"/>
      <c r="D76" s="118" t="s">
        <v>95</v>
      </c>
      <c r="E76" s="150" t="s">
        <v>251</v>
      </c>
      <c r="F76" s="118" t="s">
        <v>106</v>
      </c>
      <c r="G76" s="118" t="s">
        <v>134</v>
      </c>
      <c r="H76" s="118" t="s">
        <v>108</v>
      </c>
      <c r="I76" s="118" t="s">
        <v>18</v>
      </c>
      <c r="J76" s="118" t="s">
        <v>98</v>
      </c>
      <c r="K76" s="118"/>
      <c r="L76" s="95" t="s">
        <v>255</v>
      </c>
      <c r="M76" s="68" t="s">
        <v>62</v>
      </c>
      <c r="N76" s="68" t="s">
        <v>257</v>
      </c>
      <c r="O76" s="145" t="s">
        <v>15</v>
      </c>
      <c r="P76" s="118">
        <v>14</v>
      </c>
      <c r="Q76" s="118" t="s">
        <v>110</v>
      </c>
      <c r="R76" s="118" t="s">
        <v>16</v>
      </c>
      <c r="S76" s="118"/>
      <c r="T76" s="68">
        <v>0.624</v>
      </c>
      <c r="U76" s="118" t="s">
        <v>67</v>
      </c>
      <c r="V76" s="118">
        <f>VLOOKUP(U76,'Conversion tables'!$M$5:$O$8,3,FALSE)</f>
        <v>1</v>
      </c>
      <c r="W76" s="118">
        <f>V76*T76</f>
        <v>0.624</v>
      </c>
      <c r="X76" s="118"/>
      <c r="Y76" s="118" t="str">
        <f>O76</f>
        <v>EC50</v>
      </c>
      <c r="Z76" s="118">
        <f>VLOOKUP(Y76,'Conversion tables'!$C$5:$E$19,2,FALSE)</f>
        <v>5</v>
      </c>
      <c r="AA76" s="118">
        <f>W76/Z76</f>
        <v>0.12479999999999999</v>
      </c>
      <c r="AB76" s="118" t="str">
        <f>R76</f>
        <v>Chronic</v>
      </c>
      <c r="AC76" s="118">
        <f>VLOOKUP(AB76,'Conversion tables'!$C$22:$E$23,2,FALSE)</f>
        <v>1</v>
      </c>
      <c r="AD76" s="118">
        <f>AA76/AC76</f>
        <v>0.12479999999999999</v>
      </c>
      <c r="AE76" s="72"/>
      <c r="AF76" s="81" t="str">
        <f>E76</f>
        <v>Myriophyllum aquaticum</v>
      </c>
      <c r="AG76" s="81" t="str">
        <f>O76</f>
        <v>EC50</v>
      </c>
      <c r="AH76" s="81" t="str">
        <f>R76</f>
        <v>Chronic</v>
      </c>
      <c r="AI76" s="81">
        <f>VLOOKUP(SUM(Z76,AC76),'Conversion tables'!$J$5:$K$11,2,FALSE)</f>
        <v>2</v>
      </c>
      <c r="AJ76" s="81" t="str">
        <f>IF(AI76=MIN($AI$75:$AI$77),"YES!!!","Reject")</f>
        <v>YES!!!</v>
      </c>
      <c r="AK76" s="80" t="str">
        <f>N76</f>
        <v>Chlorophyll-a content</v>
      </c>
      <c r="AL76" s="68" t="s">
        <v>185</v>
      </c>
      <c r="AM76" s="81" t="str">
        <f>CONCATENATE(P76," ",Q76)</f>
        <v>14 Days</v>
      </c>
      <c r="AN76" s="81" t="s">
        <v>187</v>
      </c>
      <c r="AP76" s="81">
        <f>AD76</f>
        <v>0.12479999999999999</v>
      </c>
      <c r="AQ76" s="80"/>
      <c r="AR76" s="118"/>
      <c r="AS76" s="80"/>
      <c r="AT76" s="80"/>
      <c r="AU76" s="80"/>
      <c r="AV76" s="80"/>
      <c r="AW76" s="80"/>
      <c r="AX76" s="80"/>
      <c r="AY76" s="80"/>
      <c r="AZ76" s="80"/>
      <c r="BA76" s="80"/>
      <c r="BB76" s="80"/>
      <c r="BC76" s="80"/>
      <c r="BD76" s="89"/>
      <c r="BE76" s="89"/>
      <c r="BF76" s="61"/>
      <c r="BG76" s="61"/>
      <c r="BH76" s="61"/>
      <c r="BI76" s="61"/>
      <c r="BJ76" s="61"/>
      <c r="BK76" s="62"/>
    </row>
    <row r="77" spans="1:66" s="77" customFormat="1" ht="18" thickTop="1" thickBot="1" x14ac:dyDescent="0.25">
      <c r="A77" s="118">
        <v>867</v>
      </c>
      <c r="B77" s="146" t="s">
        <v>254</v>
      </c>
      <c r="C77" s="118"/>
      <c r="D77" s="118" t="s">
        <v>95</v>
      </c>
      <c r="E77" s="150" t="s">
        <v>251</v>
      </c>
      <c r="F77" s="118" t="s">
        <v>106</v>
      </c>
      <c r="G77" s="118" t="s">
        <v>134</v>
      </c>
      <c r="H77" s="118" t="s">
        <v>108</v>
      </c>
      <c r="I77" s="118" t="s">
        <v>18</v>
      </c>
      <c r="J77" s="118" t="s">
        <v>98</v>
      </c>
      <c r="K77" s="118"/>
      <c r="L77" s="95" t="s">
        <v>256</v>
      </c>
      <c r="M77" s="68" t="s">
        <v>62</v>
      </c>
      <c r="N77" s="68" t="s">
        <v>258</v>
      </c>
      <c r="O77" s="145" t="s">
        <v>15</v>
      </c>
      <c r="P77" s="118">
        <v>14</v>
      </c>
      <c r="Q77" s="118" t="s">
        <v>110</v>
      </c>
      <c r="R77" s="118" t="s">
        <v>16</v>
      </c>
      <c r="S77" s="118"/>
      <c r="T77" s="68">
        <v>4</v>
      </c>
      <c r="U77" s="118" t="s">
        <v>67</v>
      </c>
      <c r="V77" s="118">
        <f>VLOOKUP(U77,'Conversion tables'!$M$5:$O$8,3,FALSE)</f>
        <v>1</v>
      </c>
      <c r="W77" s="118">
        <f>V77*T77</f>
        <v>4</v>
      </c>
      <c r="X77" s="118"/>
      <c r="Y77" s="118" t="str">
        <f>O77</f>
        <v>EC50</v>
      </c>
      <c r="Z77" s="118">
        <f>VLOOKUP(Y77,'Conversion tables'!$C$5:$E$19,2,FALSE)</f>
        <v>5</v>
      </c>
      <c r="AA77" s="118">
        <f>W77/Z77</f>
        <v>0.8</v>
      </c>
      <c r="AB77" s="118" t="str">
        <f>R77</f>
        <v>Chronic</v>
      </c>
      <c r="AC77" s="118">
        <f>VLOOKUP(AB77,'Conversion tables'!$C$22:$E$23,2,FALSE)</f>
        <v>1</v>
      </c>
      <c r="AD77" s="118">
        <f>AA77/AC77</f>
        <v>0.8</v>
      </c>
      <c r="AE77" s="72"/>
      <c r="AF77" s="81" t="str">
        <f>E77</f>
        <v>Myriophyllum aquaticum</v>
      </c>
      <c r="AG77" s="81" t="str">
        <f>O77</f>
        <v>EC50</v>
      </c>
      <c r="AH77" s="81" t="str">
        <f>R77</f>
        <v>Chronic</v>
      </c>
      <c r="AI77" s="81">
        <f>VLOOKUP(SUM(Z77,AC77),'Conversion tables'!$J$5:$K$11,2,FALSE)</f>
        <v>2</v>
      </c>
      <c r="AJ77" s="81" t="str">
        <f>IF(AI77=MIN($AI$75:$AI$77),"YES!!!","Reject")</f>
        <v>YES!!!</v>
      </c>
      <c r="AK77" s="80" t="str">
        <f>N77</f>
        <v>Total shoot length</v>
      </c>
      <c r="AL77" s="68" t="s">
        <v>186</v>
      </c>
      <c r="AM77" s="81" t="str">
        <f>CONCATENATE(P77," ",Q77)</f>
        <v>14 Days</v>
      </c>
      <c r="AN77" s="81" t="s">
        <v>188</v>
      </c>
      <c r="AP77" s="81">
        <f>AD77</f>
        <v>0.8</v>
      </c>
      <c r="AQ77" s="80">
        <f>GEOMEAN(AP77)</f>
        <v>0.8</v>
      </c>
      <c r="AR77" s="118">
        <f>MIN(AQ77)</f>
        <v>0.8</v>
      </c>
      <c r="AS77" s="80"/>
      <c r="AT77" s="80"/>
      <c r="AU77" s="80"/>
      <c r="AV77" s="80"/>
      <c r="AW77" s="80"/>
      <c r="AX77" s="80"/>
      <c r="AY77" s="80"/>
      <c r="AZ77" s="80"/>
      <c r="BA77" s="80"/>
      <c r="BB77" s="80"/>
      <c r="BC77" s="80"/>
      <c r="BD77" s="89"/>
      <c r="BE77" s="89"/>
      <c r="BF77" s="61"/>
      <c r="BG77" s="61"/>
      <c r="BH77" s="61"/>
      <c r="BI77" s="61"/>
      <c r="BJ77" s="61"/>
      <c r="BK77" s="62"/>
    </row>
    <row r="78" spans="1:66" s="77" customFormat="1" ht="17.25" customHeight="1" thickTop="1" thickBot="1" x14ac:dyDescent="0.25">
      <c r="A78" s="71"/>
      <c r="B78" s="71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8"/>
      <c r="U78" s="58"/>
      <c r="V78" s="58"/>
      <c r="W78" s="58"/>
      <c r="X78" s="50"/>
      <c r="Y78" s="50"/>
      <c r="Z78" s="50"/>
      <c r="AA78" s="50"/>
      <c r="AB78" s="50"/>
      <c r="AC78" s="50"/>
      <c r="AD78" s="50"/>
      <c r="AE78" s="50"/>
      <c r="AF78" s="58"/>
      <c r="AG78" s="50"/>
      <c r="AH78" s="50"/>
      <c r="AI78" s="50"/>
      <c r="AJ78" s="84"/>
      <c r="AK78" s="50"/>
      <c r="AL78" s="84"/>
      <c r="AM78" s="84"/>
      <c r="AN78" s="84"/>
      <c r="AO78" s="50"/>
      <c r="AP78" s="58"/>
      <c r="AQ78" s="50"/>
      <c r="AR78" s="50"/>
      <c r="AS78" s="50"/>
      <c r="AT78" s="50"/>
      <c r="AU78" s="50"/>
      <c r="AV78" s="50"/>
      <c r="AW78" s="72"/>
      <c r="AX78" s="50"/>
      <c r="AY78" s="50"/>
      <c r="AZ78" s="50"/>
      <c r="BA78" s="50"/>
      <c r="BB78" s="50"/>
      <c r="BC78" s="88"/>
      <c r="BD78" s="89"/>
      <c r="BE78" s="89"/>
      <c r="BF78" s="61"/>
      <c r="BG78" s="61"/>
      <c r="BH78" s="61"/>
      <c r="BI78" s="61"/>
      <c r="BJ78" s="61"/>
      <c r="BK78" s="62"/>
    </row>
    <row r="79" spans="1:66" s="77" customFormat="1" ht="17.25" customHeight="1" thickTop="1" thickBot="1" x14ac:dyDescent="0.25">
      <c r="A79" s="75">
        <v>889</v>
      </c>
      <c r="B79" s="75" t="s">
        <v>132</v>
      </c>
      <c r="C79" s="75"/>
      <c r="D79" s="75" t="s">
        <v>95</v>
      </c>
      <c r="E79" s="118" t="s">
        <v>133</v>
      </c>
      <c r="F79" s="75" t="s">
        <v>106</v>
      </c>
      <c r="G79" s="75" t="s">
        <v>134</v>
      </c>
      <c r="H79" s="75" t="s">
        <v>108</v>
      </c>
      <c r="I79" s="75" t="s">
        <v>18</v>
      </c>
      <c r="J79" s="75" t="s">
        <v>98</v>
      </c>
      <c r="K79" s="75"/>
      <c r="L79" s="75" t="s">
        <v>109</v>
      </c>
      <c r="M79" s="68" t="s">
        <v>178</v>
      </c>
      <c r="N79" s="68" t="s">
        <v>179</v>
      </c>
      <c r="O79" s="75" t="s">
        <v>21</v>
      </c>
      <c r="P79" s="75">
        <v>14</v>
      </c>
      <c r="Q79" s="75" t="s">
        <v>110</v>
      </c>
      <c r="R79" s="75" t="s">
        <v>16</v>
      </c>
      <c r="S79" s="75"/>
      <c r="T79" s="75">
        <v>20</v>
      </c>
      <c r="U79" s="75" t="s">
        <v>67</v>
      </c>
      <c r="V79" s="75">
        <f>VLOOKUP(U79,'Conversion tables'!$M$5:$O$8,3,FALSE)</f>
        <v>1</v>
      </c>
      <c r="W79" s="86">
        <f>V79*T79</f>
        <v>20</v>
      </c>
      <c r="X79"/>
      <c r="Y79" s="75" t="str">
        <f>O79</f>
        <v>NOEC</v>
      </c>
      <c r="Z79" s="118">
        <f>VLOOKUP(Y79,'Conversion tables'!$C$5:$E$19,2,FALSE)</f>
        <v>1</v>
      </c>
      <c r="AA79" s="86">
        <f>W79/Z79</f>
        <v>20</v>
      </c>
      <c r="AB79" s="86" t="str">
        <f>R79</f>
        <v>Chronic</v>
      </c>
      <c r="AC79" s="86">
        <f>VLOOKUP(AB79,'Conversion tables'!$C$22:$E$23,2,FALSE)</f>
        <v>1</v>
      </c>
      <c r="AD79" s="86">
        <f>AA79/AC79</f>
        <v>20</v>
      </c>
      <c r="AE79" s="50"/>
      <c r="AF79" s="81" t="str">
        <f>E79</f>
        <v>Myriophyllum spicatum</v>
      </c>
      <c r="AG79" s="81" t="str">
        <f>O79</f>
        <v>NOEC</v>
      </c>
      <c r="AH79" s="81" t="str">
        <f>R79</f>
        <v>Chronic</v>
      </c>
      <c r="AI79" s="81">
        <f>VLOOKUP(SUM(Z79,AC79),'Conversion tables'!$J$5:$K$11,2,FALSE)</f>
        <v>1</v>
      </c>
      <c r="AJ79" s="81" t="str">
        <f>IF(AI79=MIN($AI$79:$AI$82),"YES!!!","Reject")</f>
        <v>YES!!!</v>
      </c>
      <c r="AK79" s="80" t="str">
        <f>N79</f>
        <v>Dry Weight</v>
      </c>
      <c r="AL79" s="81" t="s">
        <v>185</v>
      </c>
      <c r="AM79" s="81" t="str">
        <f>CONCATENATE(P79," ",Q79)</f>
        <v>14 Days</v>
      </c>
      <c r="AN79" s="81" t="s">
        <v>187</v>
      </c>
      <c r="AO79" s="2"/>
      <c r="AP79" s="81">
        <f>AD79</f>
        <v>20</v>
      </c>
      <c r="AQ79" s="80">
        <f>GEOMEAN(AP79)</f>
        <v>20</v>
      </c>
      <c r="AR79" s="118">
        <f>MIN(AQ79)</f>
        <v>20</v>
      </c>
      <c r="AS79" s="118">
        <f>MIN(AR79:AR80)</f>
        <v>0.4</v>
      </c>
      <c r="AT79" s="147" t="s">
        <v>290</v>
      </c>
      <c r="AU79" s="6"/>
      <c r="AV79" s="6"/>
      <c r="AW79" s="76" t="str">
        <f>H79</f>
        <v>Macrophyte</v>
      </c>
      <c r="AX79" s="76" t="str">
        <f>E79</f>
        <v>Myriophyllum spicatum</v>
      </c>
      <c r="AY79" s="76" t="str">
        <f>F79</f>
        <v>Tracheophyta</v>
      </c>
      <c r="AZ79" s="76" t="str">
        <f>G79</f>
        <v>Magnoliopsida</v>
      </c>
      <c r="BA79" s="76" t="str">
        <f>I79</f>
        <v>Phototroph</v>
      </c>
      <c r="BB79" s="76">
        <f>AI79</f>
        <v>1</v>
      </c>
      <c r="BC79" s="80">
        <f>AS79</f>
        <v>0.4</v>
      </c>
      <c r="BD79" s="147" t="s">
        <v>290</v>
      </c>
      <c r="BE79" s="89"/>
      <c r="BF79" s="76"/>
      <c r="BG79" s="61"/>
      <c r="BH79" s="61"/>
      <c r="BI79" s="61"/>
      <c r="BJ79" s="76"/>
      <c r="BK79" s="76"/>
      <c r="BL79" s="76"/>
      <c r="BM79" s="76"/>
      <c r="BN79" s="76"/>
    </row>
    <row r="80" spans="1:66" s="77" customFormat="1" thickTop="1" thickBot="1" x14ac:dyDescent="0.25">
      <c r="A80" s="86">
        <v>889</v>
      </c>
      <c r="B80" s="118" t="s">
        <v>259</v>
      </c>
      <c r="C80" s="86"/>
      <c r="D80" s="86" t="s">
        <v>95</v>
      </c>
      <c r="E80" s="118" t="s">
        <v>133</v>
      </c>
      <c r="F80" s="86" t="s">
        <v>106</v>
      </c>
      <c r="G80" s="86" t="s">
        <v>134</v>
      </c>
      <c r="H80" s="86" t="s">
        <v>108</v>
      </c>
      <c r="I80" s="86" t="s">
        <v>18</v>
      </c>
      <c r="J80" s="86" t="s">
        <v>98</v>
      </c>
      <c r="K80" s="86"/>
      <c r="L80" s="95" t="s">
        <v>260</v>
      </c>
      <c r="M80" s="68" t="s">
        <v>62</v>
      </c>
      <c r="N80" s="68" t="s">
        <v>181</v>
      </c>
      <c r="O80" s="86" t="s">
        <v>22</v>
      </c>
      <c r="P80" s="86">
        <v>14</v>
      </c>
      <c r="Q80" s="86" t="s">
        <v>110</v>
      </c>
      <c r="R80" s="86" t="s">
        <v>16</v>
      </c>
      <c r="S80" s="86"/>
      <c r="T80" s="86">
        <v>1</v>
      </c>
      <c r="U80" s="86" t="s">
        <v>67</v>
      </c>
      <c r="V80" s="86">
        <f>VLOOKUP(U80,'Conversion tables'!$M$5:$O$8,3,FALSE)</f>
        <v>1</v>
      </c>
      <c r="W80" s="86">
        <f>V80*T80</f>
        <v>1</v>
      </c>
      <c r="X80" s="76"/>
      <c r="Y80" s="86" t="str">
        <f>O80</f>
        <v>LOEC</v>
      </c>
      <c r="Z80" s="118">
        <f>VLOOKUP(Y80,'Conversion tables'!$C$5:$E$19,2,FALSE)</f>
        <v>2.5</v>
      </c>
      <c r="AA80" s="86">
        <f>W80/Z80</f>
        <v>0.4</v>
      </c>
      <c r="AB80" s="86" t="str">
        <f>R80</f>
        <v>Chronic</v>
      </c>
      <c r="AC80" s="86">
        <f>VLOOKUP(AB80,'Conversion tables'!$C$22:$E$23,2,FALSE)</f>
        <v>1</v>
      </c>
      <c r="AD80" s="86">
        <f>AA80/AC80</f>
        <v>0.4</v>
      </c>
      <c r="AE80" s="50"/>
      <c r="AF80" s="81" t="str">
        <f>E80</f>
        <v>Myriophyllum spicatum</v>
      </c>
      <c r="AG80" s="81" t="str">
        <f>O80</f>
        <v>LOEC</v>
      </c>
      <c r="AH80" s="81" t="str">
        <f>R80</f>
        <v>Chronic</v>
      </c>
      <c r="AI80" s="81">
        <v>1</v>
      </c>
      <c r="AJ80" s="81" t="str">
        <f>IF(AI80=MIN($AI$79:$AI$82),"YES!!!","Reject")</f>
        <v>YES!!!</v>
      </c>
      <c r="AK80" s="77" t="str">
        <f>N80</f>
        <v>Root Occurrence</v>
      </c>
      <c r="AL80" s="81" t="s">
        <v>186</v>
      </c>
      <c r="AM80" s="81" t="s">
        <v>199</v>
      </c>
      <c r="AN80" s="81" t="s">
        <v>188</v>
      </c>
      <c r="AP80" s="81">
        <f>AD80</f>
        <v>0.4</v>
      </c>
      <c r="AQ80" s="80">
        <f>AP80</f>
        <v>0.4</v>
      </c>
      <c r="AR80" s="80">
        <f>AQ80</f>
        <v>0.4</v>
      </c>
      <c r="AS80" s="80"/>
      <c r="AT80" s="80"/>
      <c r="AU80" s="80"/>
      <c r="AV80" s="80"/>
      <c r="AW80" s="80"/>
      <c r="AX80" s="80"/>
      <c r="AY80" s="80"/>
      <c r="AZ80" s="80"/>
      <c r="BA80" s="80"/>
      <c r="BB80" s="80"/>
      <c r="BC80" s="80"/>
      <c r="BD80" s="89"/>
      <c r="BE80" s="89"/>
      <c r="BF80" s="59"/>
      <c r="BG80" s="61"/>
      <c r="BH80" s="61"/>
      <c r="BI80" s="61"/>
      <c r="BJ80" s="59"/>
      <c r="BK80" s="60"/>
    </row>
    <row r="81" spans="1:69" s="77" customFormat="1" thickTop="1" thickBot="1" x14ac:dyDescent="0.25">
      <c r="A81" s="118">
        <v>889</v>
      </c>
      <c r="B81" s="118" t="s">
        <v>268</v>
      </c>
      <c r="C81" s="118"/>
      <c r="D81" s="118" t="s">
        <v>95</v>
      </c>
      <c r="E81" s="118" t="s">
        <v>133</v>
      </c>
      <c r="F81" s="118" t="s">
        <v>106</v>
      </c>
      <c r="G81" s="118" t="s">
        <v>134</v>
      </c>
      <c r="H81" s="118" t="s">
        <v>108</v>
      </c>
      <c r="I81" s="118" t="s">
        <v>18</v>
      </c>
      <c r="J81" s="118" t="s">
        <v>98</v>
      </c>
      <c r="K81" s="118"/>
      <c r="L81" s="118" t="s">
        <v>112</v>
      </c>
      <c r="M81" s="68" t="s">
        <v>62</v>
      </c>
      <c r="N81" s="68" t="s">
        <v>180</v>
      </c>
      <c r="O81" s="118" t="s">
        <v>22</v>
      </c>
      <c r="P81" s="118">
        <v>8</v>
      </c>
      <c r="Q81" s="118" t="s">
        <v>110</v>
      </c>
      <c r="R81" s="118" t="s">
        <v>16</v>
      </c>
      <c r="S81" s="118"/>
      <c r="T81" s="118">
        <v>1</v>
      </c>
      <c r="U81" s="118" t="s">
        <v>67</v>
      </c>
      <c r="V81" s="118">
        <f>VLOOKUP(U81,'Conversion tables'!$M$5:$O$8,3,FALSE)</f>
        <v>1</v>
      </c>
      <c r="W81" s="118">
        <f>V81*T81</f>
        <v>1</v>
      </c>
      <c r="X81" s="76"/>
      <c r="Y81" s="118" t="str">
        <f>O81</f>
        <v>LOEC</v>
      </c>
      <c r="Z81" s="118">
        <f>VLOOKUP(Y81,'Conversion tables'!$C$5:$E$19,2,FALSE)</f>
        <v>2.5</v>
      </c>
      <c r="AA81" s="118">
        <f>W81/Z81</f>
        <v>0.4</v>
      </c>
      <c r="AB81" s="118" t="str">
        <f>R81</f>
        <v>Chronic</v>
      </c>
      <c r="AC81" s="118">
        <f>VLOOKUP(AB81,'Conversion tables'!$C$22:$E$23,2,FALSE)</f>
        <v>1</v>
      </c>
      <c r="AD81" s="118">
        <f>AA81/AC81</f>
        <v>0.4</v>
      </c>
      <c r="AE81" s="72"/>
      <c r="AF81" s="81" t="str">
        <f>E81</f>
        <v>Myriophyllum spicatum</v>
      </c>
      <c r="AG81" s="81" t="str">
        <f>O81</f>
        <v>LOEC</v>
      </c>
      <c r="AH81" s="81" t="str">
        <f>R81</f>
        <v>Chronic</v>
      </c>
      <c r="AI81" s="81">
        <f>VLOOKUP(SUM(Z81,AC81),'Conversion tables'!$J$5:$K$11,2,FALSE)</f>
        <v>2</v>
      </c>
      <c r="AJ81" s="81" t="str">
        <f>IF(AI81=MIN($AI$79:$AI$82),"YES!!!","Reject")</f>
        <v>Reject</v>
      </c>
      <c r="AK81" s="80"/>
      <c r="AL81" s="81"/>
      <c r="AM81" s="81"/>
      <c r="AN81" s="81"/>
      <c r="AP81" s="81"/>
      <c r="AQ81" s="80"/>
      <c r="AR81" s="118"/>
      <c r="AS81" s="80"/>
      <c r="AT81" s="80"/>
      <c r="AU81" s="80"/>
      <c r="AV81" s="80"/>
      <c r="AW81" s="80"/>
      <c r="AX81" s="80"/>
      <c r="AY81" s="80"/>
      <c r="AZ81" s="80"/>
      <c r="BA81" s="80"/>
      <c r="BB81" s="80"/>
      <c r="BC81" s="80"/>
      <c r="BD81" s="89"/>
      <c r="BE81" s="89"/>
      <c r="BF81" s="59"/>
      <c r="BG81" s="61"/>
      <c r="BH81" s="61"/>
      <c r="BI81" s="61"/>
      <c r="BJ81" s="59"/>
      <c r="BK81" s="60"/>
    </row>
    <row r="82" spans="1:69" s="76" customFormat="1" thickTop="1" thickBot="1" x14ac:dyDescent="0.25">
      <c r="A82" s="86" t="s">
        <v>201</v>
      </c>
      <c r="B82" s="86" t="s">
        <v>218</v>
      </c>
      <c r="C82" s="86"/>
      <c r="D82" s="86" t="s">
        <v>95</v>
      </c>
      <c r="E82" s="118" t="s">
        <v>133</v>
      </c>
      <c r="F82" s="86" t="s">
        <v>106</v>
      </c>
      <c r="G82" s="86" t="s">
        <v>134</v>
      </c>
      <c r="H82" s="86" t="s">
        <v>108</v>
      </c>
      <c r="I82" s="86" t="s">
        <v>18</v>
      </c>
      <c r="J82" s="86" t="s">
        <v>98</v>
      </c>
      <c r="K82" s="86"/>
      <c r="L82" s="86" t="s">
        <v>208</v>
      </c>
      <c r="M82" s="68" t="s">
        <v>62</v>
      </c>
      <c r="N82" s="68" t="s">
        <v>235</v>
      </c>
      <c r="O82" s="86" t="s">
        <v>15</v>
      </c>
      <c r="P82" s="86">
        <v>14</v>
      </c>
      <c r="Q82" s="86" t="s">
        <v>110</v>
      </c>
      <c r="R82" s="86" t="s">
        <v>16</v>
      </c>
      <c r="S82" s="86"/>
      <c r="T82" s="86">
        <v>0.28999999999999998</v>
      </c>
      <c r="U82" s="86" t="s">
        <v>67</v>
      </c>
      <c r="V82" s="86">
        <f>VLOOKUP(U82,'Conversion tables'!$M$5:$O$8,3,FALSE)</f>
        <v>1</v>
      </c>
      <c r="W82" s="86">
        <f>V82*T82</f>
        <v>0.28999999999999998</v>
      </c>
      <c r="X82" s="86"/>
      <c r="Y82" s="86" t="str">
        <f>O82</f>
        <v>EC50</v>
      </c>
      <c r="Z82" s="118">
        <f>VLOOKUP(Y82,'Conversion tables'!$C$5:$E$19,2,FALSE)</f>
        <v>5</v>
      </c>
      <c r="AA82" s="86">
        <f>W82/Z82</f>
        <v>5.7999999999999996E-2</v>
      </c>
      <c r="AB82" s="86" t="str">
        <f>R82</f>
        <v>Chronic</v>
      </c>
      <c r="AC82" s="86">
        <f>VLOOKUP(AB82,'Conversion tables'!$C$22:$E$23,2,FALSE)</f>
        <v>1</v>
      </c>
      <c r="AD82" s="86">
        <f>AA82/AC82</f>
        <v>5.7999999999999996E-2</v>
      </c>
      <c r="AE82" s="72"/>
      <c r="AF82" s="81" t="str">
        <f>E82</f>
        <v>Myriophyllum spicatum</v>
      </c>
      <c r="AG82" s="81" t="str">
        <f>O82</f>
        <v>EC50</v>
      </c>
      <c r="AH82" s="81" t="str">
        <f>R82</f>
        <v>Chronic</v>
      </c>
      <c r="AI82" s="81">
        <f>VLOOKUP(SUM(Z82,AC82),'Conversion tables'!$J$5:$K$11,2,FALSE)</f>
        <v>2</v>
      </c>
      <c r="AJ82" s="81" t="str">
        <f>IF(AI82=MIN($AI$79:$AI$82),"YES!!!","Reject")</f>
        <v>Reject</v>
      </c>
      <c r="BF82" s="90"/>
      <c r="BG82" s="61"/>
      <c r="BH82" s="61"/>
      <c r="BI82" s="61"/>
      <c r="BJ82" s="90"/>
      <c r="BK82" s="89"/>
      <c r="BL82" s="89"/>
      <c r="BM82" s="89"/>
      <c r="BN82" s="89"/>
    </row>
    <row r="83" spans="1:69" s="77" customFormat="1" thickTop="1" thickBot="1" x14ac:dyDescent="0.25">
      <c r="A83" s="71"/>
      <c r="B83" s="71"/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84"/>
      <c r="U83" s="84"/>
      <c r="V83" s="84"/>
      <c r="W83" s="84"/>
      <c r="X83" s="72"/>
      <c r="Y83" s="72"/>
      <c r="Z83" s="72"/>
      <c r="AA83" s="72"/>
      <c r="AB83" s="72"/>
      <c r="AC83" s="72"/>
      <c r="AD83" s="72"/>
      <c r="AE83" s="72"/>
      <c r="AF83" s="84"/>
      <c r="AG83" s="72"/>
      <c r="AH83" s="72"/>
      <c r="AI83" s="72"/>
      <c r="AJ83" s="84"/>
      <c r="AK83" s="72"/>
      <c r="AL83" s="84"/>
      <c r="AM83" s="84"/>
      <c r="AN83" s="84"/>
      <c r="AO83" s="72"/>
      <c r="AP83" s="84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96"/>
      <c r="BD83" s="89"/>
      <c r="BE83" s="89"/>
      <c r="BF83" s="61"/>
      <c r="BG83" s="61"/>
      <c r="BH83" s="61"/>
      <c r="BI83" s="61"/>
      <c r="BJ83" s="61"/>
      <c r="BK83" s="62"/>
    </row>
    <row r="84" spans="1:69" s="89" customFormat="1" thickTop="1" thickBot="1" x14ac:dyDescent="0.25">
      <c r="A84" s="75">
        <v>15837</v>
      </c>
      <c r="B84" s="75">
        <v>2016075</v>
      </c>
      <c r="C84" s="75"/>
      <c r="D84" s="75" t="s">
        <v>95</v>
      </c>
      <c r="E84" s="118" t="s">
        <v>163</v>
      </c>
      <c r="F84" s="106" t="s">
        <v>175</v>
      </c>
      <c r="G84" s="106" t="s">
        <v>176</v>
      </c>
      <c r="H84" s="106" t="s">
        <v>17</v>
      </c>
      <c r="I84" s="106" t="s">
        <v>18</v>
      </c>
      <c r="J84" s="118" t="s">
        <v>98</v>
      </c>
      <c r="K84" s="75"/>
      <c r="L84" s="75" t="s">
        <v>158</v>
      </c>
      <c r="M84" s="68" t="s">
        <v>240</v>
      </c>
      <c r="N84" s="68" t="s">
        <v>241</v>
      </c>
      <c r="O84" s="75" t="s">
        <v>247</v>
      </c>
      <c r="P84" s="75">
        <v>96</v>
      </c>
      <c r="Q84" s="75" t="s">
        <v>160</v>
      </c>
      <c r="R84" s="75" t="s">
        <v>16</v>
      </c>
      <c r="S84" s="75"/>
      <c r="T84" s="75">
        <v>92800</v>
      </c>
      <c r="U84" s="75" t="s">
        <v>159</v>
      </c>
      <c r="V84" s="75">
        <f>VLOOKUP(U84,'Conversion tables'!$M$5:$O$8,3,FALSE)</f>
        <v>1</v>
      </c>
      <c r="W84" s="75">
        <f>V84*T84</f>
        <v>92800</v>
      </c>
      <c r="X84"/>
      <c r="Y84" s="75" t="str">
        <f>O84</f>
        <v>NOEL</v>
      </c>
      <c r="Z84" s="118">
        <f>VLOOKUP(Y84,'Conversion tables'!$C$5:$E$19,2,FALSE)</f>
        <v>1</v>
      </c>
      <c r="AA84" s="86">
        <f>W84/Z84</f>
        <v>92800</v>
      </c>
      <c r="AB84" s="86" t="str">
        <f>R84</f>
        <v>Chronic</v>
      </c>
      <c r="AC84" s="86">
        <f>VLOOKUP(AB84,'Conversion tables'!$C$22:$E$23,2,FALSE)</f>
        <v>1</v>
      </c>
      <c r="AD84" s="86">
        <f>AA84/AC84</f>
        <v>92800</v>
      </c>
      <c r="AE84" s="50"/>
      <c r="AF84" s="81" t="str">
        <f>E84</f>
        <v>Navicula pelliculosa</v>
      </c>
      <c r="AG84" s="81" t="str">
        <f>O84</f>
        <v>NOEL</v>
      </c>
      <c r="AH84" s="81" t="str">
        <f>R84</f>
        <v>Chronic</v>
      </c>
      <c r="AI84" s="81">
        <f>VLOOKUP(SUM(Z84,AC84),'Conversion tables'!$J$5:$K$11,2,FALSE)</f>
        <v>1</v>
      </c>
      <c r="AJ84" s="81" t="str">
        <f>IF(AI84=MIN($AI$84),"YES!!!","Reject")</f>
        <v>YES!!!</v>
      </c>
      <c r="AK84" s="80" t="str">
        <f>N84</f>
        <v>Biomass, Growth Rate, AUC</v>
      </c>
      <c r="AL84" s="78" t="s">
        <v>185</v>
      </c>
      <c r="AM84" s="81" t="str">
        <f>CONCATENATE(P84," ",Q84)</f>
        <v>96 Hour</v>
      </c>
      <c r="AN84" s="78" t="s">
        <v>187</v>
      </c>
      <c r="AO84" s="2"/>
      <c r="AP84" s="81">
        <f>AD84</f>
        <v>92800</v>
      </c>
      <c r="AQ84" s="80">
        <f>GEOMEAN(AP84)</f>
        <v>92800</v>
      </c>
      <c r="AR84" s="118">
        <f>MIN(AQ84)</f>
        <v>92800</v>
      </c>
      <c r="AS84" s="118">
        <f>MIN(AR84)</f>
        <v>92800</v>
      </c>
      <c r="AT84" s="147" t="s">
        <v>290</v>
      </c>
      <c r="AU84" s="6"/>
      <c r="AV84" s="6"/>
      <c r="AW84" s="76" t="str">
        <f>H84</f>
        <v>Microalgae</v>
      </c>
      <c r="AX84" s="76" t="str">
        <f>E84</f>
        <v>Navicula pelliculosa</v>
      </c>
      <c r="AY84" s="76" t="str">
        <f>F84</f>
        <v>Bacillariophyta</v>
      </c>
      <c r="AZ84" s="76" t="str">
        <f>G84</f>
        <v>Bacillariophyceae</v>
      </c>
      <c r="BA84" s="76" t="str">
        <f>I84</f>
        <v>Phototroph</v>
      </c>
      <c r="BB84" s="76">
        <f>AI84</f>
        <v>1</v>
      </c>
      <c r="BC84" s="80">
        <f>AS84</f>
        <v>92800</v>
      </c>
      <c r="BD84" s="147" t="s">
        <v>290</v>
      </c>
      <c r="BF84" s="61"/>
      <c r="BG84" s="61"/>
      <c r="BH84" s="61"/>
      <c r="BI84" s="61"/>
      <c r="BJ84" s="61"/>
      <c r="BK84" s="62"/>
      <c r="BL84" s="77"/>
      <c r="BM84" s="77"/>
    </row>
    <row r="85" spans="1:69" s="77" customFormat="1" thickTop="1" thickBot="1" x14ac:dyDescent="0.25">
      <c r="A85" s="71"/>
      <c r="B85" s="71"/>
      <c r="C85" s="50"/>
      <c r="D85" s="50"/>
      <c r="E85" s="72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8"/>
      <c r="U85" s="58"/>
      <c r="V85" s="58"/>
      <c r="W85" s="58"/>
      <c r="X85" s="50"/>
      <c r="Y85" s="50"/>
      <c r="Z85" s="50"/>
      <c r="AA85" s="50"/>
      <c r="AB85" s="50"/>
      <c r="AC85" s="50"/>
      <c r="AD85" s="50"/>
      <c r="AE85" s="50"/>
      <c r="AF85" s="58"/>
      <c r="AG85" s="50"/>
      <c r="AH85" s="50"/>
      <c r="AI85" s="50"/>
      <c r="AJ85" s="84"/>
      <c r="AK85" s="50"/>
      <c r="AL85" s="84"/>
      <c r="AM85" s="84"/>
      <c r="AN85" s="84"/>
      <c r="AO85" s="50"/>
      <c r="AP85" s="58"/>
      <c r="AQ85" s="50"/>
      <c r="AR85" s="50"/>
      <c r="AS85" s="50"/>
      <c r="AT85" s="50"/>
      <c r="AU85" s="50"/>
      <c r="AV85" s="50"/>
      <c r="AW85" s="72"/>
      <c r="AX85" s="50"/>
      <c r="AY85" s="50"/>
      <c r="AZ85" s="50"/>
      <c r="BA85" s="50"/>
      <c r="BB85" s="50"/>
      <c r="BC85" s="88"/>
      <c r="BD85" s="89"/>
      <c r="BE85" s="89"/>
      <c r="BF85" s="61"/>
      <c r="BG85" s="61"/>
      <c r="BH85" s="61"/>
      <c r="BI85" s="61"/>
      <c r="BJ85" s="61"/>
      <c r="BK85" s="62"/>
      <c r="BN85" s="89"/>
    </row>
    <row r="86" spans="1:69" s="89" customFormat="1" thickTop="1" thickBot="1" x14ac:dyDescent="0.25">
      <c r="A86" s="75">
        <v>15093</v>
      </c>
      <c r="B86" s="75">
        <v>2016072</v>
      </c>
      <c r="C86" s="75"/>
      <c r="D86" s="75" t="s">
        <v>95</v>
      </c>
      <c r="E86" s="118" t="s">
        <v>164</v>
      </c>
      <c r="F86" s="107" t="s">
        <v>56</v>
      </c>
      <c r="G86" s="107" t="s">
        <v>60</v>
      </c>
      <c r="H86" s="107" t="s">
        <v>57</v>
      </c>
      <c r="I86" s="107" t="s">
        <v>59</v>
      </c>
      <c r="J86" s="75" t="s">
        <v>165</v>
      </c>
      <c r="K86" s="75"/>
      <c r="L86" s="75" t="s">
        <v>51</v>
      </c>
      <c r="M86" s="68" t="s">
        <v>51</v>
      </c>
      <c r="N86" s="68" t="s">
        <v>51</v>
      </c>
      <c r="O86" s="75" t="s">
        <v>22</v>
      </c>
      <c r="P86" s="75">
        <v>90</v>
      </c>
      <c r="Q86" s="75" t="s">
        <v>110</v>
      </c>
      <c r="R86" s="75" t="s">
        <v>16</v>
      </c>
      <c r="S86" s="75"/>
      <c r="T86" s="75">
        <v>8</v>
      </c>
      <c r="U86" s="75" t="s">
        <v>161</v>
      </c>
      <c r="V86" s="75">
        <f>VLOOKUP(U86,'Conversion tables'!$M$5:$O$8,3,FALSE)</f>
        <v>1000</v>
      </c>
      <c r="W86" s="75">
        <f>V86*T86</f>
        <v>8000</v>
      </c>
      <c r="X86"/>
      <c r="Y86" s="75" t="str">
        <f>O86</f>
        <v>LOEC</v>
      </c>
      <c r="Z86" s="118">
        <f>VLOOKUP(Y86,'Conversion tables'!$C$5:$E$19,2,FALSE)</f>
        <v>2.5</v>
      </c>
      <c r="AA86" s="86">
        <f>W86/Z86</f>
        <v>3200</v>
      </c>
      <c r="AB86" s="86" t="str">
        <f>R86</f>
        <v>Chronic</v>
      </c>
      <c r="AC86" s="86">
        <f>VLOOKUP(AB86,'Conversion tables'!$C$22:$E$23,2,FALSE)</f>
        <v>1</v>
      </c>
      <c r="AD86" s="86">
        <f>AA86/AC86</f>
        <v>3200</v>
      </c>
      <c r="AE86" s="50"/>
      <c r="AF86" s="81" t="str">
        <f>E86</f>
        <v>Oncorhynchus mykiss</v>
      </c>
      <c r="AG86" s="81" t="str">
        <f>O86</f>
        <v>LOEC</v>
      </c>
      <c r="AH86" s="81" t="str">
        <f>R86</f>
        <v>Chronic</v>
      </c>
      <c r="AI86" s="81">
        <f>VLOOKUP(SUM(Z86,AC86),'Conversion tables'!$J$5:$K$11,2,FALSE)</f>
        <v>2</v>
      </c>
      <c r="AJ86" s="81" t="str">
        <f>IF(AI86=MIN($AI$86:$AI$87),"YES!!!","Reject")</f>
        <v>Reject</v>
      </c>
      <c r="AU86" s="6"/>
      <c r="AV86" s="6"/>
      <c r="AW86" s="76"/>
      <c r="AX86" s="76"/>
      <c r="AY86" s="76"/>
      <c r="AZ86" s="76"/>
      <c r="BA86" s="76"/>
      <c r="BB86" s="76"/>
      <c r="BC86" s="80"/>
      <c r="BF86" s="77"/>
      <c r="BG86" s="77"/>
      <c r="BH86" s="77"/>
      <c r="BI86" s="77"/>
      <c r="BJ86" s="77"/>
      <c r="BK86" s="77"/>
      <c r="BL86" s="77"/>
      <c r="BM86" s="77"/>
      <c r="BN86" s="77"/>
    </row>
    <row r="87" spans="1:69" s="89" customFormat="1" thickTop="1" thickBot="1" x14ac:dyDescent="0.25">
      <c r="A87" s="118">
        <v>15093</v>
      </c>
      <c r="B87" s="118">
        <v>2016072</v>
      </c>
      <c r="C87" s="118"/>
      <c r="D87" s="118" t="s">
        <v>95</v>
      </c>
      <c r="E87" s="118" t="s">
        <v>164</v>
      </c>
      <c r="F87" s="118" t="s">
        <v>56</v>
      </c>
      <c r="G87" s="118" t="s">
        <v>60</v>
      </c>
      <c r="H87" s="118" t="s">
        <v>57</v>
      </c>
      <c r="I87" s="118" t="s">
        <v>59</v>
      </c>
      <c r="J87" s="118" t="s">
        <v>165</v>
      </c>
      <c r="K87" s="118"/>
      <c r="L87" s="118" t="s">
        <v>51</v>
      </c>
      <c r="M87" s="68" t="s">
        <v>51</v>
      </c>
      <c r="N87" s="68" t="s">
        <v>51</v>
      </c>
      <c r="O87" s="118" t="s">
        <v>247</v>
      </c>
      <c r="P87" s="118">
        <v>90</v>
      </c>
      <c r="Q87" s="118" t="s">
        <v>110</v>
      </c>
      <c r="R87" s="118" t="s">
        <v>16</v>
      </c>
      <c r="S87" s="118"/>
      <c r="T87" s="118">
        <v>4.5</v>
      </c>
      <c r="U87" s="118" t="s">
        <v>161</v>
      </c>
      <c r="V87" s="118">
        <f>VLOOKUP(U87,'Conversion tables'!$M$5:$O$8,3,FALSE)</f>
        <v>1000</v>
      </c>
      <c r="W87" s="118">
        <f>V87*T87</f>
        <v>4500</v>
      </c>
      <c r="X87" s="76"/>
      <c r="Y87" s="118" t="str">
        <f>O87</f>
        <v>NOEL</v>
      </c>
      <c r="Z87" s="118">
        <f>VLOOKUP(Y87,'Conversion tables'!$C$5:$E$19,2,FALSE)</f>
        <v>1</v>
      </c>
      <c r="AA87" s="118">
        <f>W87/Z87</f>
        <v>4500</v>
      </c>
      <c r="AB87" s="118" t="str">
        <f>R87</f>
        <v>Chronic</v>
      </c>
      <c r="AC87" s="118">
        <f>VLOOKUP(AB87,'Conversion tables'!$C$22:$E$23,2,FALSE)</f>
        <v>1</v>
      </c>
      <c r="AD87" s="118">
        <f>AA87/AC87</f>
        <v>4500</v>
      </c>
      <c r="AE87" s="72"/>
      <c r="AF87" s="81" t="str">
        <f>E87</f>
        <v>Oncorhynchus mykiss</v>
      </c>
      <c r="AG87" s="81" t="str">
        <f>O87</f>
        <v>NOEL</v>
      </c>
      <c r="AH87" s="81" t="str">
        <f>R87</f>
        <v>Chronic</v>
      </c>
      <c r="AI87" s="81">
        <f>VLOOKUP(SUM(Z87,AC87),'Conversion tables'!$J$5:$K$11,2,FALSE)</f>
        <v>1</v>
      </c>
      <c r="AJ87" s="81" t="str">
        <f>IF(AI87=MIN($AI$86:$AI$87),"YES!!!","Reject")</f>
        <v>YES!!!</v>
      </c>
      <c r="AK87" s="80" t="str">
        <f>N87</f>
        <v>Mortality</v>
      </c>
      <c r="AL87" s="78" t="s">
        <v>185</v>
      </c>
      <c r="AM87" s="81" t="str">
        <f>CONCATENATE(P87," ",Q87)</f>
        <v>90 Days</v>
      </c>
      <c r="AN87" s="78" t="s">
        <v>187</v>
      </c>
      <c r="AO87" s="77"/>
      <c r="AP87" s="81">
        <f>AD87</f>
        <v>4500</v>
      </c>
      <c r="AQ87" s="80">
        <f>GEOMEAN(AP87)</f>
        <v>4500</v>
      </c>
      <c r="AR87" s="118">
        <f>MIN(AQ87)</f>
        <v>4500</v>
      </c>
      <c r="AS87" s="118">
        <f>MIN(AR87)</f>
        <v>4500</v>
      </c>
      <c r="AT87" s="147" t="s">
        <v>290</v>
      </c>
      <c r="AU87" s="80"/>
      <c r="AV87" s="80"/>
      <c r="AW87" s="76" t="str">
        <f>H87</f>
        <v>Fish</v>
      </c>
      <c r="AX87" s="76" t="str">
        <f>E87</f>
        <v>Oncorhynchus mykiss</v>
      </c>
      <c r="AY87" s="76" t="str">
        <f>F87</f>
        <v>Chordata</v>
      </c>
      <c r="AZ87" s="76" t="str">
        <f>G87</f>
        <v>Actinopterygii</v>
      </c>
      <c r="BA87" s="76" t="str">
        <f>I87</f>
        <v>Heterotroph</v>
      </c>
      <c r="BB87" s="76">
        <f>AI87</f>
        <v>1</v>
      </c>
      <c r="BC87" s="80">
        <f>AS87</f>
        <v>4500</v>
      </c>
      <c r="BD87" s="147" t="s">
        <v>290</v>
      </c>
      <c r="BF87" s="76"/>
      <c r="BG87" s="76"/>
      <c r="BH87" s="76"/>
      <c r="BI87" s="76"/>
      <c r="BJ87" s="76"/>
      <c r="BK87" s="76"/>
      <c r="BL87" s="76"/>
      <c r="BM87" s="76"/>
      <c r="BN87" s="77"/>
    </row>
    <row r="88" spans="1:69" s="77" customFormat="1" thickTop="1" thickBot="1" x14ac:dyDescent="0.25">
      <c r="A88" s="71"/>
      <c r="B88" s="71"/>
      <c r="C88" s="72"/>
      <c r="D88" s="72"/>
      <c r="E88" s="72"/>
      <c r="F88" s="72"/>
      <c r="G88" s="72"/>
      <c r="H88" s="72"/>
      <c r="I88" s="72"/>
      <c r="J88" s="72"/>
      <c r="K88" s="72"/>
      <c r="L88" s="72"/>
      <c r="M88" s="72"/>
      <c r="N88" s="72"/>
      <c r="O88" s="72"/>
      <c r="P88" s="72"/>
      <c r="Q88" s="72"/>
      <c r="R88" s="72"/>
      <c r="S88" s="72"/>
      <c r="T88" s="84"/>
      <c r="U88" s="84"/>
      <c r="V88" s="84"/>
      <c r="W88" s="84"/>
      <c r="X88" s="72"/>
      <c r="Y88" s="72"/>
      <c r="Z88" s="72"/>
      <c r="AA88" s="72"/>
      <c r="AB88" s="72"/>
      <c r="AC88" s="72"/>
      <c r="AD88" s="72"/>
      <c r="AE88" s="72"/>
      <c r="AF88" s="84"/>
      <c r="AG88" s="72"/>
      <c r="AH88" s="72"/>
      <c r="AI88" s="72"/>
      <c r="AJ88" s="84"/>
      <c r="AK88" s="72"/>
      <c r="AL88" s="84"/>
      <c r="AM88" s="84"/>
      <c r="AN88" s="84"/>
      <c r="AO88" s="72"/>
      <c r="AP88" s="84"/>
      <c r="AQ88" s="72"/>
      <c r="AR88" s="72"/>
      <c r="AS88" s="72"/>
      <c r="AT88" s="72"/>
      <c r="AU88" s="72"/>
      <c r="AV88" s="72"/>
      <c r="AW88" s="72"/>
      <c r="AX88" s="72"/>
      <c r="AY88" s="72"/>
      <c r="AZ88" s="72"/>
      <c r="BA88" s="72"/>
      <c r="BB88" s="72"/>
      <c r="BC88" s="88"/>
      <c r="BD88" s="89"/>
      <c r="BE88" s="89"/>
    </row>
    <row r="89" spans="1:69" s="77" customFormat="1" thickTop="1" thickBot="1" x14ac:dyDescent="0.25">
      <c r="A89" s="86" t="s">
        <v>201</v>
      </c>
      <c r="B89" s="86" t="s">
        <v>219</v>
      </c>
      <c r="C89" s="86"/>
      <c r="D89" s="86" t="s">
        <v>95</v>
      </c>
      <c r="E89" s="118" t="s">
        <v>220</v>
      </c>
      <c r="F89" s="86" t="s">
        <v>106</v>
      </c>
      <c r="G89" s="86" t="s">
        <v>107</v>
      </c>
      <c r="H89" s="86" t="s">
        <v>108</v>
      </c>
      <c r="I89" s="86" t="s">
        <v>18</v>
      </c>
      <c r="J89" s="86" t="s">
        <v>98</v>
      </c>
      <c r="K89" s="86"/>
      <c r="L89" s="86" t="s">
        <v>208</v>
      </c>
      <c r="M89" s="68" t="s">
        <v>62</v>
      </c>
      <c r="N89" s="68" t="s">
        <v>235</v>
      </c>
      <c r="O89" s="86" t="s">
        <v>15</v>
      </c>
      <c r="P89" s="86">
        <v>14</v>
      </c>
      <c r="Q89" s="86" t="s">
        <v>110</v>
      </c>
      <c r="R89" s="86" t="s">
        <v>16</v>
      </c>
      <c r="S89" s="86"/>
      <c r="T89" s="86">
        <v>0.23</v>
      </c>
      <c r="U89" s="86" t="s">
        <v>67</v>
      </c>
      <c r="V89" s="86">
        <f>VLOOKUP(U89,'Conversion tables'!$M$5:$O$8,3,FALSE)</f>
        <v>1</v>
      </c>
      <c r="W89" s="86">
        <f>V89*T89</f>
        <v>0.23</v>
      </c>
      <c r="X89" s="86"/>
      <c r="Y89" s="86" t="str">
        <f>O89</f>
        <v>EC50</v>
      </c>
      <c r="Z89" s="118">
        <f>VLOOKUP(Y89,'Conversion tables'!$C$5:$E$19,2,FALSE)</f>
        <v>5</v>
      </c>
      <c r="AA89" s="86">
        <f>W89/Z89</f>
        <v>4.5999999999999999E-2</v>
      </c>
      <c r="AB89" s="86" t="str">
        <f>R89</f>
        <v>Chronic</v>
      </c>
      <c r="AC89" s="86">
        <f>VLOOKUP(AB89,'Conversion tables'!$C$22:$E$23,2,FALSE)</f>
        <v>1</v>
      </c>
      <c r="AD89" s="86">
        <f>AA89/AC89</f>
        <v>4.5999999999999999E-2</v>
      </c>
      <c r="AE89" s="72"/>
      <c r="AF89" s="81" t="str">
        <f>E89</f>
        <v>Potamogeton crispus</v>
      </c>
      <c r="AG89" s="81" t="str">
        <f>O89</f>
        <v>EC50</v>
      </c>
      <c r="AH89" s="81" t="str">
        <f>R89</f>
        <v>Chronic</v>
      </c>
      <c r="AI89" s="81">
        <f>VLOOKUP(SUM(Z89,AC89),'Conversion tables'!$J$5:$K$11,2,FALSE)</f>
        <v>2</v>
      </c>
      <c r="AJ89" s="81" t="str">
        <f>IF(AI89=MIN($AI$89),"YES!!!","Reject")</f>
        <v>YES!!!</v>
      </c>
      <c r="AK89" s="80" t="str">
        <f>N89</f>
        <v>Leaf Area</v>
      </c>
      <c r="AL89" s="81" t="s">
        <v>185</v>
      </c>
      <c r="AM89" s="81" t="str">
        <f>CONCATENATE(P89," ",Q89)</f>
        <v>14 Days</v>
      </c>
      <c r="AN89" s="81" t="s">
        <v>187</v>
      </c>
      <c r="AO89" s="76"/>
      <c r="AP89" s="81">
        <f>AD89</f>
        <v>4.5999999999999999E-2</v>
      </c>
      <c r="AQ89" s="80">
        <f>GEOMEAN(AP89)</f>
        <v>4.5999999999999999E-2</v>
      </c>
      <c r="AR89" s="118">
        <f>MIN(AQ89)</f>
        <v>4.5999999999999999E-2</v>
      </c>
      <c r="AS89" s="118">
        <f>MIN(AR89)</f>
        <v>4.5999999999999999E-2</v>
      </c>
      <c r="AT89" s="147" t="s">
        <v>290</v>
      </c>
      <c r="AU89" s="76"/>
      <c r="AV89" s="76"/>
      <c r="AW89" s="76" t="str">
        <f>H89</f>
        <v>Macrophyte</v>
      </c>
      <c r="AX89" s="76" t="str">
        <f>E89</f>
        <v>Potamogeton crispus</v>
      </c>
      <c r="AY89" s="76" t="str">
        <f>F89</f>
        <v>Tracheophyta</v>
      </c>
      <c r="AZ89" s="76" t="str">
        <f>G89</f>
        <v>Liliopsida</v>
      </c>
      <c r="BA89" s="76" t="str">
        <f>I89</f>
        <v>Phototroph</v>
      </c>
      <c r="BB89" s="76">
        <f>AI89</f>
        <v>2</v>
      </c>
      <c r="BC89" s="80">
        <f>AS89</f>
        <v>4.5999999999999999E-2</v>
      </c>
      <c r="BD89" s="147" t="s">
        <v>290</v>
      </c>
      <c r="BE89" s="89"/>
    </row>
    <row r="90" spans="1:69" s="89" customFormat="1" thickTop="1" thickBot="1" x14ac:dyDescent="0.25">
      <c r="A90" s="71"/>
      <c r="B90" s="71"/>
      <c r="C90" s="72"/>
      <c r="D90" s="72"/>
      <c r="E90" s="72"/>
      <c r="F90" s="72"/>
      <c r="G90" s="72"/>
      <c r="H90" s="72"/>
      <c r="I90" s="72"/>
      <c r="J90" s="72"/>
      <c r="K90" s="72"/>
      <c r="L90" s="72"/>
      <c r="M90" s="72"/>
      <c r="N90" s="72"/>
      <c r="O90" s="72"/>
      <c r="P90" s="72"/>
      <c r="Q90" s="72"/>
      <c r="R90" s="72"/>
      <c r="S90" s="72"/>
      <c r="T90" s="84"/>
      <c r="U90" s="84"/>
      <c r="V90" s="84"/>
      <c r="W90" s="84"/>
      <c r="X90" s="72"/>
      <c r="Y90" s="72"/>
      <c r="Z90" s="72"/>
      <c r="AA90" s="72"/>
      <c r="AB90" s="72"/>
      <c r="AC90" s="72"/>
      <c r="AD90" s="72"/>
      <c r="AE90" s="72"/>
      <c r="AF90" s="84"/>
      <c r="AG90" s="72"/>
      <c r="AH90" s="72"/>
      <c r="AI90" s="72"/>
      <c r="AJ90" s="84"/>
      <c r="AK90" s="72"/>
      <c r="AL90" s="84"/>
      <c r="AM90" s="84"/>
      <c r="AN90" s="84"/>
      <c r="AO90" s="72"/>
      <c r="AP90" s="84"/>
      <c r="AQ90" s="72"/>
      <c r="AR90" s="72"/>
      <c r="AS90" s="72"/>
      <c r="AT90" s="72"/>
      <c r="AU90" s="72"/>
      <c r="AV90" s="72"/>
      <c r="AW90" s="72"/>
      <c r="AX90" s="72"/>
      <c r="AY90" s="72"/>
      <c r="AZ90" s="72"/>
      <c r="BA90" s="72"/>
      <c r="BB90" s="72"/>
      <c r="BC90" s="88"/>
      <c r="BF90" s="77"/>
      <c r="BG90" s="77"/>
      <c r="BH90" s="77"/>
      <c r="BI90" s="77"/>
      <c r="BJ90" s="77"/>
      <c r="BK90" s="77"/>
      <c r="BL90" s="77"/>
      <c r="BM90" s="77"/>
      <c r="BN90" s="76"/>
      <c r="BO90" s="77"/>
      <c r="BP90" s="77"/>
      <c r="BQ90" s="77"/>
    </row>
    <row r="91" spans="1:69" s="89" customFormat="1" thickTop="1" thickBot="1" x14ac:dyDescent="0.25">
      <c r="A91" s="75">
        <v>837</v>
      </c>
      <c r="B91" s="75" t="s">
        <v>135</v>
      </c>
      <c r="C91" s="75"/>
      <c r="D91" s="75" t="s">
        <v>95</v>
      </c>
      <c r="E91" s="118" t="s">
        <v>136</v>
      </c>
      <c r="F91" s="108" t="s">
        <v>96</v>
      </c>
      <c r="G91" s="108" t="s">
        <v>137</v>
      </c>
      <c r="H91" s="108" t="s">
        <v>17</v>
      </c>
      <c r="I91" s="108" t="s">
        <v>18</v>
      </c>
      <c r="J91" s="75" t="s">
        <v>98</v>
      </c>
      <c r="K91" s="75"/>
      <c r="L91" s="75" t="s">
        <v>103</v>
      </c>
      <c r="M91" s="68" t="s">
        <v>177</v>
      </c>
      <c r="N91" s="68" t="s">
        <v>184</v>
      </c>
      <c r="O91" s="75" t="s">
        <v>15</v>
      </c>
      <c r="P91" s="75">
        <v>96</v>
      </c>
      <c r="Q91" s="75" t="s">
        <v>100</v>
      </c>
      <c r="R91" s="75" t="s">
        <v>16</v>
      </c>
      <c r="S91" s="75"/>
      <c r="T91" s="75">
        <v>24696</v>
      </c>
      <c r="U91" s="75" t="s">
        <v>67</v>
      </c>
      <c r="V91" s="75">
        <f>VLOOKUP(U91,'Conversion tables'!$M$5:$O$8,3,FALSE)</f>
        <v>1</v>
      </c>
      <c r="W91" s="75">
        <f t="shared" ref="W91:W103" si="39">V91*T91</f>
        <v>24696</v>
      </c>
      <c r="X91"/>
      <c r="Y91" s="75" t="str">
        <f>O91</f>
        <v>EC50</v>
      </c>
      <c r="Z91" s="118">
        <f>VLOOKUP(Y91,'Conversion tables'!$C$5:$E$19,2,FALSE)</f>
        <v>5</v>
      </c>
      <c r="AA91" s="86">
        <f t="shared" ref="AA91:AA103" si="40">W91/Z91</f>
        <v>4939.2</v>
      </c>
      <c r="AB91" s="86" t="str">
        <f>R91</f>
        <v>Chronic</v>
      </c>
      <c r="AC91" s="86">
        <f>VLOOKUP(AB91,'Conversion tables'!$C$22:$E$23,2,FALSE)</f>
        <v>1</v>
      </c>
      <c r="AD91" s="86">
        <f>AA91/AC91</f>
        <v>4939.2</v>
      </c>
      <c r="AE91" s="72"/>
      <c r="AF91" s="81" t="str">
        <f t="shared" ref="AF91:AF103" si="41">E91</f>
        <v>Raphidocelis subcapitata</v>
      </c>
      <c r="AG91" s="81" t="str">
        <f t="shared" ref="AG91:AG103" si="42">O91</f>
        <v>EC50</v>
      </c>
      <c r="AH91" s="81" t="str">
        <f t="shared" ref="AH91:AH103" si="43">R91</f>
        <v>Chronic</v>
      </c>
      <c r="AI91" s="81">
        <f>VLOOKUP(SUM(Z91,AC91),'Conversion tables'!$J$5:$K$11,2,FALSE)</f>
        <v>2</v>
      </c>
      <c r="AJ91" s="81" t="str">
        <f t="shared" ref="AJ91:AJ103" si="44">IF(AI91=MIN($AI$91:$AI$103),"YES!!!","Reject")</f>
        <v>Reject</v>
      </c>
      <c r="AK91" s="6"/>
      <c r="AL91" s="81"/>
      <c r="AM91" s="81"/>
      <c r="AN91" s="81"/>
      <c r="AO91" s="2"/>
      <c r="AP91" s="8"/>
      <c r="AQ91" s="6"/>
      <c r="AR91" s="6"/>
      <c r="AS91" s="6"/>
      <c r="AT91" s="6"/>
      <c r="AU91" s="6"/>
      <c r="AV91" s="6"/>
      <c r="AW91" s="80"/>
      <c r="AX91" s="6"/>
      <c r="AY91" s="6"/>
      <c r="AZ91" s="6"/>
      <c r="BA91" s="6"/>
      <c r="BB91" s="6"/>
      <c r="BC91" s="6"/>
      <c r="BF91" s="77"/>
      <c r="BG91" s="77"/>
      <c r="BH91" s="77"/>
      <c r="BI91" s="77"/>
      <c r="BJ91" s="77"/>
      <c r="BK91" s="77"/>
      <c r="BL91" s="77"/>
      <c r="BM91" s="77"/>
      <c r="BO91" s="77"/>
      <c r="BP91" s="77"/>
      <c r="BQ91" s="77"/>
    </row>
    <row r="92" spans="1:69" s="76" customFormat="1" thickTop="1" thickBot="1" x14ac:dyDescent="0.25">
      <c r="A92" s="75">
        <v>888</v>
      </c>
      <c r="B92" s="75" t="s">
        <v>144</v>
      </c>
      <c r="C92" s="75"/>
      <c r="D92" s="75" t="s">
        <v>95</v>
      </c>
      <c r="E92" s="118" t="s">
        <v>145</v>
      </c>
      <c r="F92" s="109" t="s">
        <v>96</v>
      </c>
      <c r="G92" s="109" t="s">
        <v>137</v>
      </c>
      <c r="H92" s="109" t="s">
        <v>17</v>
      </c>
      <c r="I92" s="109" t="s">
        <v>18</v>
      </c>
      <c r="J92" s="75" t="s">
        <v>53</v>
      </c>
      <c r="K92" s="75"/>
      <c r="L92" s="75" t="s">
        <v>171</v>
      </c>
      <c r="M92" s="68" t="s">
        <v>172</v>
      </c>
      <c r="N92" s="68" t="s">
        <v>184</v>
      </c>
      <c r="O92" s="75" t="s">
        <v>55</v>
      </c>
      <c r="P92" s="75">
        <v>72</v>
      </c>
      <c r="Q92" s="75" t="s">
        <v>100</v>
      </c>
      <c r="R92" s="75" t="s">
        <v>16</v>
      </c>
      <c r="S92" s="75"/>
      <c r="T92" s="75">
        <v>611.79999999999995</v>
      </c>
      <c r="U92" s="75" t="s">
        <v>67</v>
      </c>
      <c r="V92" s="75">
        <f>VLOOKUP(U92,'Conversion tables'!$M$5:$O$8,3,FALSE)</f>
        <v>1</v>
      </c>
      <c r="W92" s="75">
        <f t="shared" si="39"/>
        <v>611.79999999999995</v>
      </c>
      <c r="X92"/>
      <c r="Y92" s="75" t="str">
        <f>O92</f>
        <v>IC50</v>
      </c>
      <c r="Z92" s="118">
        <f>VLOOKUP(Y92,'Conversion tables'!$C$5:$E$19,2,FALSE)</f>
        <v>5</v>
      </c>
      <c r="AA92" s="86">
        <f t="shared" si="40"/>
        <v>122.35999999999999</v>
      </c>
      <c r="AB92" s="86" t="str">
        <f>R92</f>
        <v>Chronic</v>
      </c>
      <c r="AC92" s="86">
        <f>VLOOKUP(AB92,'Conversion tables'!$C$22:$E$23,2,FALSE)</f>
        <v>1</v>
      </c>
      <c r="AD92" s="86">
        <f>AA92/AC92</f>
        <v>122.35999999999999</v>
      </c>
      <c r="AE92" s="72"/>
      <c r="AF92" s="81" t="str">
        <f t="shared" si="41"/>
        <v>Selenastrum capricornutum</v>
      </c>
      <c r="AG92" s="81" t="str">
        <f t="shared" si="42"/>
        <v>IC50</v>
      </c>
      <c r="AH92" s="81" t="str">
        <f t="shared" si="43"/>
        <v>Chronic</v>
      </c>
      <c r="AI92" s="81">
        <f>VLOOKUP(SUM(Z92,AC92),'Conversion tables'!$J$5:$K$11,2,FALSE)</f>
        <v>2</v>
      </c>
      <c r="AJ92" s="81" t="str">
        <f t="shared" si="44"/>
        <v>Reject</v>
      </c>
      <c r="AK92" s="6"/>
      <c r="AL92" s="81"/>
      <c r="AM92" s="81"/>
      <c r="AN92" s="81"/>
      <c r="AO92" s="2"/>
      <c r="AP92" s="8"/>
      <c r="AQ92" s="6"/>
      <c r="AR92" s="6"/>
      <c r="AS92" s="6"/>
      <c r="AT92" s="6"/>
      <c r="AU92" s="6"/>
      <c r="AV92" s="6"/>
      <c r="AW92" s="80"/>
      <c r="AX92" s="6"/>
      <c r="AY92" s="6"/>
      <c r="AZ92" s="6"/>
      <c r="BA92" s="6"/>
      <c r="BB92" s="6"/>
      <c r="BC92" s="6"/>
      <c r="BF92" s="77"/>
      <c r="BG92" s="77"/>
      <c r="BH92" s="77"/>
      <c r="BI92" s="77"/>
      <c r="BJ92" s="77"/>
      <c r="BK92" s="77"/>
      <c r="BL92" s="77"/>
      <c r="BM92" s="77"/>
      <c r="BN92" s="77"/>
    </row>
    <row r="93" spans="1:69" s="77" customFormat="1" thickTop="1" thickBot="1" x14ac:dyDescent="0.25">
      <c r="A93" s="75">
        <v>887</v>
      </c>
      <c r="B93" s="75" t="s">
        <v>138</v>
      </c>
      <c r="C93" s="75"/>
      <c r="D93" s="75" t="s">
        <v>95</v>
      </c>
      <c r="E93" s="118" t="s">
        <v>139</v>
      </c>
      <c r="F93" s="110" t="s">
        <v>96</v>
      </c>
      <c r="G93" s="110" t="s">
        <v>137</v>
      </c>
      <c r="H93" s="110" t="s">
        <v>17</v>
      </c>
      <c r="I93" s="110" t="s">
        <v>18</v>
      </c>
      <c r="J93" s="75" t="s">
        <v>53</v>
      </c>
      <c r="K93" s="75"/>
      <c r="L93" s="75" t="s">
        <v>140</v>
      </c>
      <c r="M93" s="68" t="s">
        <v>174</v>
      </c>
      <c r="N93" s="68" t="s">
        <v>173</v>
      </c>
      <c r="O93" s="75" t="s">
        <v>15</v>
      </c>
      <c r="P93" s="75">
        <v>48</v>
      </c>
      <c r="Q93" s="75" t="s">
        <v>100</v>
      </c>
      <c r="R93" s="75" t="s">
        <v>16</v>
      </c>
      <c r="S93" s="75"/>
      <c r="T93" s="75">
        <v>1934</v>
      </c>
      <c r="U93" s="75" t="s">
        <v>67</v>
      </c>
      <c r="V93" s="75">
        <f>VLOOKUP(U93,'Conversion tables'!$M$5:$O$8,3,FALSE)</f>
        <v>1</v>
      </c>
      <c r="W93" s="75">
        <f t="shared" si="39"/>
        <v>1934</v>
      </c>
      <c r="X93"/>
      <c r="Y93" s="75" t="str">
        <f>O93</f>
        <v>EC50</v>
      </c>
      <c r="Z93" s="118">
        <f>VLOOKUP(Y93,'Conversion tables'!$C$5:$E$19,2,FALSE)</f>
        <v>5</v>
      </c>
      <c r="AA93" s="86">
        <f t="shared" si="40"/>
        <v>386.8</v>
      </c>
      <c r="AB93" s="86" t="str">
        <f>R93</f>
        <v>Chronic</v>
      </c>
      <c r="AC93" s="86">
        <f>VLOOKUP(AB93,'Conversion tables'!$C$22:$E$23,2,FALSE)</f>
        <v>1</v>
      </c>
      <c r="AD93" s="86">
        <f>AA93/AC93</f>
        <v>386.8</v>
      </c>
      <c r="AE93" s="72"/>
      <c r="AF93" s="81" t="str">
        <f t="shared" si="41"/>
        <v>Pseudokircheriella subcapitata</v>
      </c>
      <c r="AG93" s="81" t="str">
        <f t="shared" si="42"/>
        <v>EC50</v>
      </c>
      <c r="AH93" s="81" t="str">
        <f t="shared" si="43"/>
        <v>Chronic</v>
      </c>
      <c r="AI93" s="81">
        <f>VLOOKUP(SUM(Z93,AC93),'Conversion tables'!$J$5:$K$11,2,FALSE)</f>
        <v>2</v>
      </c>
      <c r="AJ93" s="81" t="str">
        <f t="shared" si="44"/>
        <v>Reject</v>
      </c>
      <c r="AK93" s="6"/>
      <c r="AL93" s="81"/>
      <c r="AM93" s="81"/>
      <c r="AN93" s="81"/>
      <c r="AO93" s="2"/>
      <c r="AP93" s="8"/>
      <c r="AQ93" s="6"/>
      <c r="AR93" s="6"/>
      <c r="AS93" s="6"/>
      <c r="AT93" s="6"/>
      <c r="AU93" s="6"/>
      <c r="AV93" s="6"/>
      <c r="AW93" s="80"/>
      <c r="AX93" s="6"/>
      <c r="AY93" s="6"/>
      <c r="AZ93" s="6"/>
      <c r="BA93" s="6"/>
      <c r="BB93" s="6"/>
      <c r="BC93" s="6"/>
      <c r="BD93" s="89"/>
      <c r="BE93" s="89"/>
      <c r="BN93" s="89"/>
      <c r="BO93" s="89"/>
      <c r="BP93" s="89"/>
      <c r="BQ93" s="89"/>
    </row>
    <row r="94" spans="1:69" s="89" customFormat="1" thickTop="1" thickBot="1" x14ac:dyDescent="0.25">
      <c r="A94" s="75">
        <v>874</v>
      </c>
      <c r="B94" s="75" t="s">
        <v>141</v>
      </c>
      <c r="C94" s="75"/>
      <c r="D94" s="75" t="s">
        <v>95</v>
      </c>
      <c r="E94" s="118" t="s">
        <v>142</v>
      </c>
      <c r="F94" s="111" t="s">
        <v>96</v>
      </c>
      <c r="G94" s="111" t="s">
        <v>137</v>
      </c>
      <c r="H94" s="111" t="s">
        <v>17</v>
      </c>
      <c r="I94" s="111" t="s">
        <v>18</v>
      </c>
      <c r="J94" s="75" t="s">
        <v>98</v>
      </c>
      <c r="K94" s="75"/>
      <c r="L94" s="75" t="s">
        <v>130</v>
      </c>
      <c r="M94" s="68" t="s">
        <v>174</v>
      </c>
      <c r="N94" s="68" t="s">
        <v>173</v>
      </c>
      <c r="O94" s="75" t="s">
        <v>25</v>
      </c>
      <c r="P94" s="75">
        <v>48</v>
      </c>
      <c r="Q94" s="75" t="s">
        <v>100</v>
      </c>
      <c r="R94" s="75" t="s">
        <v>16</v>
      </c>
      <c r="S94" s="75"/>
      <c r="T94" s="75">
        <v>292</v>
      </c>
      <c r="U94" s="75" t="s">
        <v>67</v>
      </c>
      <c r="V94" s="75">
        <f>VLOOKUP(U94,'Conversion tables'!$M$5:$O$8,3,FALSE)</f>
        <v>1</v>
      </c>
      <c r="W94" s="75">
        <f t="shared" si="39"/>
        <v>292</v>
      </c>
      <c r="X94"/>
      <c r="Y94" s="75" t="str">
        <f>O94</f>
        <v>EC10</v>
      </c>
      <c r="Z94" s="118">
        <f>VLOOKUP(Y94,'Conversion tables'!$C$5:$E$19,2,FALSE)</f>
        <v>1</v>
      </c>
      <c r="AA94" s="86">
        <f t="shared" si="40"/>
        <v>292</v>
      </c>
      <c r="AB94" s="86" t="str">
        <f>R94</f>
        <v>Chronic</v>
      </c>
      <c r="AC94" s="86">
        <f>VLOOKUP(AB94,'Conversion tables'!$C$22:$E$23,2,FALSE)</f>
        <v>1</v>
      </c>
      <c r="AD94" s="86">
        <f>AA94/AC94</f>
        <v>292</v>
      </c>
      <c r="AE94" s="72"/>
      <c r="AF94" s="81" t="str">
        <f t="shared" si="41"/>
        <v>Pseudokirchneriella subcapitata</v>
      </c>
      <c r="AG94" s="81" t="str">
        <f t="shared" si="42"/>
        <v>EC10</v>
      </c>
      <c r="AH94" s="81" t="str">
        <f t="shared" si="43"/>
        <v>Chronic</v>
      </c>
      <c r="AI94" s="81">
        <f>VLOOKUP(SUM(Z94,AC94),'Conversion tables'!$J$5:$K$11,2,FALSE)</f>
        <v>1</v>
      </c>
      <c r="AJ94" s="81" t="str">
        <f t="shared" si="44"/>
        <v>YES!!!</v>
      </c>
      <c r="AK94" s="80" t="str">
        <f>N94</f>
        <v>Chlorophyll-a</v>
      </c>
      <c r="AL94" s="81" t="s">
        <v>185</v>
      </c>
      <c r="AM94" s="81" t="str">
        <f>CONCATENATE(P94," ",Q94)</f>
        <v>48 Hours</v>
      </c>
      <c r="AN94" s="81" t="s">
        <v>187</v>
      </c>
      <c r="AO94" s="2"/>
      <c r="AP94" s="81">
        <f>AD94</f>
        <v>292</v>
      </c>
      <c r="AQ94" s="80">
        <f>GEOMEAN(AP94)</f>
        <v>292</v>
      </c>
      <c r="AR94" s="118">
        <f>MIN(AQ94)</f>
        <v>292</v>
      </c>
      <c r="AT94" s="80"/>
      <c r="AU94" s="6"/>
      <c r="AV94" s="6"/>
      <c r="AW94" s="76"/>
      <c r="AX94" s="76"/>
      <c r="AY94" s="76"/>
      <c r="AZ94" s="76"/>
      <c r="BA94" s="76"/>
      <c r="BB94" s="76"/>
      <c r="BC94" s="80"/>
      <c r="BF94" s="77"/>
      <c r="BG94" s="77"/>
      <c r="BH94" s="77"/>
      <c r="BI94" s="77"/>
      <c r="BJ94" s="77"/>
      <c r="BK94" s="77"/>
      <c r="BL94" s="77"/>
      <c r="BM94" s="77"/>
      <c r="BN94" s="77"/>
      <c r="BO94" s="77"/>
      <c r="BP94" s="77"/>
      <c r="BQ94" s="77"/>
    </row>
    <row r="95" spans="1:69" s="77" customFormat="1" thickTop="1" thickBot="1" x14ac:dyDescent="0.25">
      <c r="A95" s="75">
        <v>874</v>
      </c>
      <c r="B95" s="75" t="s">
        <v>143</v>
      </c>
      <c r="C95" s="75"/>
      <c r="D95" s="75" t="s">
        <v>95</v>
      </c>
      <c r="E95" s="118" t="s">
        <v>142</v>
      </c>
      <c r="F95" s="112" t="s">
        <v>96</v>
      </c>
      <c r="G95" s="112" t="s">
        <v>137</v>
      </c>
      <c r="H95" s="112" t="s">
        <v>17</v>
      </c>
      <c r="I95" s="112" t="s">
        <v>18</v>
      </c>
      <c r="J95" s="75" t="s">
        <v>98</v>
      </c>
      <c r="K95" s="75"/>
      <c r="L95" s="75" t="s">
        <v>130</v>
      </c>
      <c r="M95" s="68" t="s">
        <v>174</v>
      </c>
      <c r="N95" s="68" t="s">
        <v>173</v>
      </c>
      <c r="O95" s="75" t="s">
        <v>15</v>
      </c>
      <c r="P95" s="75">
        <v>48</v>
      </c>
      <c r="Q95" s="75" t="s">
        <v>100</v>
      </c>
      <c r="R95" s="75" t="s">
        <v>16</v>
      </c>
      <c r="S95" s="75"/>
      <c r="T95" s="75">
        <v>677</v>
      </c>
      <c r="U95" s="75" t="s">
        <v>67</v>
      </c>
      <c r="V95" s="75">
        <f>VLOOKUP(U95,'Conversion tables'!$M$5:$O$8,3,FALSE)</f>
        <v>1</v>
      </c>
      <c r="W95" s="75">
        <f t="shared" si="39"/>
        <v>677</v>
      </c>
      <c r="X95"/>
      <c r="Y95" s="75" t="str">
        <f>O95</f>
        <v>EC50</v>
      </c>
      <c r="Z95" s="118">
        <f>VLOOKUP(Y95,'Conversion tables'!$C$5:$E$19,2,FALSE)</f>
        <v>5</v>
      </c>
      <c r="AA95" s="86">
        <f t="shared" si="40"/>
        <v>135.4</v>
      </c>
      <c r="AB95" s="86" t="str">
        <f>R95</f>
        <v>Chronic</v>
      </c>
      <c r="AC95" s="86">
        <f>VLOOKUP(AB95,'Conversion tables'!$C$22:$E$23,2,FALSE)</f>
        <v>1</v>
      </c>
      <c r="AD95" s="86">
        <f>AA95/AC95</f>
        <v>135.4</v>
      </c>
      <c r="AE95" s="72"/>
      <c r="AF95" s="81" t="str">
        <f t="shared" si="41"/>
        <v>Pseudokirchneriella subcapitata</v>
      </c>
      <c r="AG95" s="81" t="str">
        <f t="shared" si="42"/>
        <v>EC50</v>
      </c>
      <c r="AH95" s="81" t="str">
        <f t="shared" si="43"/>
        <v>Chronic</v>
      </c>
      <c r="AI95" s="81">
        <f>VLOOKUP(SUM(Z95,AC95),'Conversion tables'!$J$5:$K$11,2,FALSE)</f>
        <v>2</v>
      </c>
      <c r="AJ95" s="81" t="str">
        <f t="shared" si="44"/>
        <v>Reject</v>
      </c>
      <c r="AK95" s="6"/>
      <c r="AL95" s="81"/>
      <c r="AM95" s="81"/>
      <c r="AN95" s="81"/>
      <c r="AO95" s="2"/>
      <c r="AP95" s="8"/>
      <c r="AQ95" s="6"/>
      <c r="AR95" s="6"/>
      <c r="AS95" s="6"/>
      <c r="AT95" s="6"/>
      <c r="AU95" s="6"/>
      <c r="AV95" s="6"/>
      <c r="BD95" s="89"/>
      <c r="BE95" s="89"/>
      <c r="BO95" s="89"/>
      <c r="BP95" s="89"/>
      <c r="BQ95" s="89"/>
    </row>
    <row r="96" spans="1:69" s="77" customFormat="1" thickTop="1" thickBot="1" x14ac:dyDescent="0.25">
      <c r="A96" s="75">
        <v>15836</v>
      </c>
      <c r="B96" s="75">
        <v>2016074</v>
      </c>
      <c r="C96" s="75"/>
      <c r="D96" s="75" t="s">
        <v>95</v>
      </c>
      <c r="E96" s="118" t="s">
        <v>142</v>
      </c>
      <c r="F96" s="113" t="s">
        <v>96</v>
      </c>
      <c r="G96" s="113" t="s">
        <v>137</v>
      </c>
      <c r="H96" s="113" t="s">
        <v>17</v>
      </c>
      <c r="I96" s="113" t="s">
        <v>18</v>
      </c>
      <c r="J96" s="75" t="s">
        <v>98</v>
      </c>
      <c r="K96" s="75"/>
      <c r="L96" s="75" t="s">
        <v>158</v>
      </c>
      <c r="M96" s="68" t="s">
        <v>240</v>
      </c>
      <c r="N96" s="68" t="s">
        <v>241</v>
      </c>
      <c r="O96" s="75" t="s">
        <v>15</v>
      </c>
      <c r="P96" s="75">
        <v>96</v>
      </c>
      <c r="Q96" s="75" t="s">
        <v>160</v>
      </c>
      <c r="R96" s="75" t="s">
        <v>16</v>
      </c>
      <c r="S96" s="75"/>
      <c r="T96" s="75">
        <v>130</v>
      </c>
      <c r="U96" s="75" t="s">
        <v>159</v>
      </c>
      <c r="V96" s="75">
        <f>VLOOKUP(U96,'Conversion tables'!$M$5:$O$8,3,FALSE)</f>
        <v>1</v>
      </c>
      <c r="W96" s="75">
        <f t="shared" si="39"/>
        <v>130</v>
      </c>
      <c r="X96"/>
      <c r="Y96" s="75" t="str">
        <f t="shared" ref="Y96:Y103" si="45">O96</f>
        <v>EC50</v>
      </c>
      <c r="Z96" s="118">
        <f>VLOOKUP(Y96,'Conversion tables'!$C$5:$E$19,2,FALSE)</f>
        <v>5</v>
      </c>
      <c r="AA96" s="86">
        <f t="shared" si="40"/>
        <v>26</v>
      </c>
      <c r="AB96" s="86" t="str">
        <f t="shared" ref="AB96:AB103" si="46">R96</f>
        <v>Chronic</v>
      </c>
      <c r="AC96" s="86">
        <f>VLOOKUP(AB96,'Conversion tables'!$C$22:$E$23,2,FALSE)</f>
        <v>1</v>
      </c>
      <c r="AD96" s="86">
        <f t="shared" ref="AD96:AD103" si="47">AA96/AC96</f>
        <v>26</v>
      </c>
      <c r="AE96" s="72"/>
      <c r="AF96" s="81" t="str">
        <f t="shared" si="41"/>
        <v>Pseudokirchneriella subcapitata</v>
      </c>
      <c r="AG96" s="81" t="str">
        <f t="shared" si="42"/>
        <v>EC50</v>
      </c>
      <c r="AH96" s="81" t="str">
        <f t="shared" si="43"/>
        <v>Chronic</v>
      </c>
      <c r="AI96" s="81">
        <f>VLOOKUP(SUM(Z96,AC96),'Conversion tables'!$J$5:$K$11,2,FALSE)</f>
        <v>2</v>
      </c>
      <c r="AJ96" s="81" t="str">
        <f t="shared" si="44"/>
        <v>Reject</v>
      </c>
      <c r="AK96" s="6"/>
      <c r="AL96" s="81"/>
      <c r="AM96" s="81"/>
      <c r="AN96" s="81"/>
      <c r="AO96" s="2"/>
      <c r="AP96" s="8"/>
      <c r="AQ96" s="6"/>
      <c r="AR96" s="6"/>
      <c r="AS96" s="6"/>
      <c r="AT96" s="6"/>
      <c r="AU96" s="6"/>
      <c r="AV96" s="6"/>
      <c r="BD96" s="89"/>
      <c r="BE96" s="89"/>
    </row>
    <row r="97" spans="1:69" s="77" customFormat="1" thickTop="1" thickBot="1" x14ac:dyDescent="0.25">
      <c r="A97" s="118">
        <v>15836</v>
      </c>
      <c r="B97" s="118">
        <v>2016074</v>
      </c>
      <c r="C97" s="118"/>
      <c r="D97" s="118" t="s">
        <v>95</v>
      </c>
      <c r="E97" s="118" t="s">
        <v>142</v>
      </c>
      <c r="F97" s="118" t="s">
        <v>96</v>
      </c>
      <c r="G97" s="118" t="s">
        <v>137</v>
      </c>
      <c r="H97" s="118" t="s">
        <v>17</v>
      </c>
      <c r="I97" s="118" t="s">
        <v>18</v>
      </c>
      <c r="J97" s="118" t="s">
        <v>98</v>
      </c>
      <c r="K97" s="118"/>
      <c r="L97" s="118" t="s">
        <v>158</v>
      </c>
      <c r="M97" s="68" t="s">
        <v>240</v>
      </c>
      <c r="N97" s="68" t="s">
        <v>241</v>
      </c>
      <c r="O97" s="118" t="s">
        <v>247</v>
      </c>
      <c r="P97" s="118">
        <v>96</v>
      </c>
      <c r="Q97" s="118" t="s">
        <v>160</v>
      </c>
      <c r="R97" s="118" t="s">
        <v>16</v>
      </c>
      <c r="S97" s="118"/>
      <c r="T97" s="118">
        <v>14.5</v>
      </c>
      <c r="U97" s="118" t="s">
        <v>159</v>
      </c>
      <c r="V97" s="118">
        <f>VLOOKUP(U97,'Conversion tables'!$M$5:$O$8,3,FALSE)</f>
        <v>1</v>
      </c>
      <c r="W97" s="118">
        <f t="shared" si="39"/>
        <v>14.5</v>
      </c>
      <c r="X97" s="76"/>
      <c r="Y97" s="118" t="str">
        <f>O97</f>
        <v>NOEL</v>
      </c>
      <c r="Z97" s="118">
        <f>VLOOKUP(Y97,'Conversion tables'!$C$5:$E$19,2,FALSE)</f>
        <v>1</v>
      </c>
      <c r="AA97" s="118">
        <f t="shared" si="40"/>
        <v>14.5</v>
      </c>
      <c r="AB97" s="118" t="str">
        <f>R97</f>
        <v>Chronic</v>
      </c>
      <c r="AC97" s="118">
        <f>VLOOKUP(AB97,'Conversion tables'!$C$22:$E$23,2,FALSE)</f>
        <v>1</v>
      </c>
      <c r="AD97" s="118">
        <f>AA97/AC97</f>
        <v>14.5</v>
      </c>
      <c r="AE97" s="72"/>
      <c r="AF97" s="81" t="str">
        <f t="shared" si="41"/>
        <v>Pseudokirchneriella subcapitata</v>
      </c>
      <c r="AG97" s="81" t="str">
        <f t="shared" si="42"/>
        <v>NOEL</v>
      </c>
      <c r="AH97" s="81" t="str">
        <f t="shared" si="43"/>
        <v>Chronic</v>
      </c>
      <c r="AI97" s="81">
        <f>VLOOKUP(SUM(Z97,AC97),'Conversion tables'!$J$5:$K$11,2,FALSE)</f>
        <v>1</v>
      </c>
      <c r="AJ97" s="81" t="str">
        <f t="shared" si="44"/>
        <v>YES!!!</v>
      </c>
      <c r="AK97" s="80" t="str">
        <f>N97</f>
        <v>Biomass, Growth Rate, AUC</v>
      </c>
      <c r="AL97" s="81" t="s">
        <v>186</v>
      </c>
      <c r="AM97" s="81" t="str">
        <f>CONCATENATE(P97," ",Q97)</f>
        <v>96 Hour</v>
      </c>
      <c r="AN97" s="81" t="s">
        <v>188</v>
      </c>
      <c r="AP97" s="81">
        <f>AD97</f>
        <v>14.5</v>
      </c>
      <c r="AQ97" s="80">
        <f>GEOMEAN(AP97)</f>
        <v>14.5</v>
      </c>
      <c r="AR97" s="118">
        <f>MIN(AQ97:AQ99)</f>
        <v>10</v>
      </c>
      <c r="AS97" s="118">
        <f>MIN(AR94:AR97)</f>
        <v>10</v>
      </c>
      <c r="AT97" s="147" t="s">
        <v>290</v>
      </c>
      <c r="AU97" s="80"/>
      <c r="AV97" s="80"/>
      <c r="AW97" s="142" t="str">
        <f>H97</f>
        <v>Microalgae</v>
      </c>
      <c r="AX97" s="142" t="str">
        <f>E97</f>
        <v>Pseudokirchneriella subcapitata</v>
      </c>
      <c r="AY97" s="142" t="str">
        <f>F97</f>
        <v>Chlorophyta</v>
      </c>
      <c r="AZ97" s="142" t="str">
        <f>G97</f>
        <v>Chlorophyceae</v>
      </c>
      <c r="BA97" s="142" t="str">
        <f>I97</f>
        <v>Phototroph</v>
      </c>
      <c r="BB97" s="142">
        <f>AI97</f>
        <v>1</v>
      </c>
      <c r="BC97" s="77">
        <f>AS97</f>
        <v>10</v>
      </c>
      <c r="BD97" s="147" t="s">
        <v>290</v>
      </c>
      <c r="BE97" s="89"/>
    </row>
    <row r="98" spans="1:69" s="89" customFormat="1" thickTop="1" thickBot="1" x14ac:dyDescent="0.25">
      <c r="A98" s="75">
        <v>2380</v>
      </c>
      <c r="B98" s="75">
        <v>2016065</v>
      </c>
      <c r="C98" s="75"/>
      <c r="D98" s="75" t="s">
        <v>95</v>
      </c>
      <c r="E98" s="118" t="s">
        <v>145</v>
      </c>
      <c r="F98" s="114" t="s">
        <v>96</v>
      </c>
      <c r="G98" s="114" t="s">
        <v>137</v>
      </c>
      <c r="H98" s="114" t="s">
        <v>17</v>
      </c>
      <c r="I98" s="114" t="s">
        <v>18</v>
      </c>
      <c r="J98" s="75" t="s">
        <v>98</v>
      </c>
      <c r="K98" s="75"/>
      <c r="L98" s="75" t="s">
        <v>158</v>
      </c>
      <c r="M98" s="68" t="s">
        <v>240</v>
      </c>
      <c r="N98" s="68" t="s">
        <v>241</v>
      </c>
      <c r="O98" s="75" t="s">
        <v>15</v>
      </c>
      <c r="P98" s="75">
        <v>5</v>
      </c>
      <c r="Q98" s="75" t="s">
        <v>110</v>
      </c>
      <c r="R98" s="75" t="s">
        <v>16</v>
      </c>
      <c r="S98" s="75"/>
      <c r="T98" s="75">
        <v>285.60000000000002</v>
      </c>
      <c r="U98" s="75" t="s">
        <v>159</v>
      </c>
      <c r="V98" s="75">
        <f>VLOOKUP(U98,'Conversion tables'!$M$5:$O$8,3,FALSE)</f>
        <v>1</v>
      </c>
      <c r="W98" s="75">
        <f t="shared" si="39"/>
        <v>285.60000000000002</v>
      </c>
      <c r="X98"/>
      <c r="Y98" s="75" t="str">
        <f t="shared" si="45"/>
        <v>EC50</v>
      </c>
      <c r="Z98" s="118">
        <f>VLOOKUP(Y98,'Conversion tables'!$C$5:$E$19,2,FALSE)</f>
        <v>5</v>
      </c>
      <c r="AA98" s="86">
        <f t="shared" si="40"/>
        <v>57.120000000000005</v>
      </c>
      <c r="AB98" s="86" t="str">
        <f t="shared" si="46"/>
        <v>Chronic</v>
      </c>
      <c r="AC98" s="86">
        <f>VLOOKUP(AB98,'Conversion tables'!$C$22:$E$23,2,FALSE)</f>
        <v>1</v>
      </c>
      <c r="AD98" s="86">
        <f t="shared" si="47"/>
        <v>57.120000000000005</v>
      </c>
      <c r="AE98" s="72"/>
      <c r="AF98" s="81" t="str">
        <f t="shared" si="41"/>
        <v>Selenastrum capricornutum</v>
      </c>
      <c r="AG98" s="81" t="str">
        <f t="shared" si="42"/>
        <v>EC50</v>
      </c>
      <c r="AH98" s="81" t="str">
        <f t="shared" si="43"/>
        <v>Chronic</v>
      </c>
      <c r="AI98" s="81">
        <f>VLOOKUP(SUM(Z98,AC98),'Conversion tables'!$J$5:$K$11,2,FALSE)</f>
        <v>2</v>
      </c>
      <c r="AJ98" s="81" t="str">
        <f t="shared" si="44"/>
        <v>Reject</v>
      </c>
      <c r="AK98" s="6"/>
      <c r="AL98" s="81"/>
      <c r="AM98" s="81"/>
      <c r="AN98" s="81"/>
      <c r="AO98" s="2"/>
      <c r="AP98" s="8"/>
      <c r="AQ98" s="6"/>
      <c r="AR98" s="6"/>
      <c r="AS98" s="6"/>
      <c r="AT98" s="6"/>
      <c r="AU98" s="6"/>
      <c r="AV98" s="6"/>
      <c r="AW98" s="77"/>
      <c r="AX98" s="77"/>
      <c r="AY98" s="77"/>
      <c r="AZ98" s="77"/>
      <c r="BA98" s="77"/>
      <c r="BB98" s="77"/>
      <c r="BC98" s="77"/>
      <c r="BF98" s="77"/>
      <c r="BG98" s="77"/>
      <c r="BH98" s="77"/>
      <c r="BI98" s="77"/>
      <c r="BJ98" s="77"/>
      <c r="BK98" s="77"/>
      <c r="BL98" s="77"/>
      <c r="BM98" s="77"/>
      <c r="BO98" s="77"/>
      <c r="BP98" s="77"/>
      <c r="BQ98" s="77"/>
    </row>
    <row r="99" spans="1:69" s="89" customFormat="1" thickTop="1" thickBot="1" x14ac:dyDescent="0.25">
      <c r="A99" s="118">
        <v>2380</v>
      </c>
      <c r="B99" s="118">
        <v>2016065</v>
      </c>
      <c r="C99" s="118"/>
      <c r="D99" s="118" t="s">
        <v>95</v>
      </c>
      <c r="E99" s="118" t="s">
        <v>145</v>
      </c>
      <c r="F99" s="118" t="s">
        <v>96</v>
      </c>
      <c r="G99" s="118" t="s">
        <v>137</v>
      </c>
      <c r="H99" s="118" t="s">
        <v>17</v>
      </c>
      <c r="I99" s="118" t="s">
        <v>18</v>
      </c>
      <c r="J99" s="118" t="s">
        <v>98</v>
      </c>
      <c r="K99" s="118"/>
      <c r="L99" s="118" t="s">
        <v>158</v>
      </c>
      <c r="M99" s="68" t="s">
        <v>240</v>
      </c>
      <c r="N99" s="68" t="s">
        <v>241</v>
      </c>
      <c r="O99" s="118" t="s">
        <v>247</v>
      </c>
      <c r="P99" s="118">
        <v>5</v>
      </c>
      <c r="Q99" s="118" t="s">
        <v>110</v>
      </c>
      <c r="R99" s="118" t="s">
        <v>16</v>
      </c>
      <c r="S99" s="118"/>
      <c r="T99" s="118">
        <v>10</v>
      </c>
      <c r="U99" s="118" t="s">
        <v>159</v>
      </c>
      <c r="V99" s="118">
        <f>VLOOKUP(U99,'Conversion tables'!$M$5:$O$8,3,FALSE)</f>
        <v>1</v>
      </c>
      <c r="W99" s="118">
        <f t="shared" si="39"/>
        <v>10</v>
      </c>
      <c r="X99" s="76"/>
      <c r="Y99" s="118" t="str">
        <f>O99</f>
        <v>NOEL</v>
      </c>
      <c r="Z99" s="118">
        <f>VLOOKUP(Y99,'Conversion tables'!$C$5:$E$19,2,FALSE)</f>
        <v>1</v>
      </c>
      <c r="AA99" s="118">
        <f t="shared" si="40"/>
        <v>10</v>
      </c>
      <c r="AB99" s="118" t="str">
        <f>R99</f>
        <v>Chronic</v>
      </c>
      <c r="AC99" s="118">
        <f>VLOOKUP(AB99,'Conversion tables'!$C$22:$E$23,2,FALSE)</f>
        <v>1</v>
      </c>
      <c r="AD99" s="118">
        <f>AA99/AC99</f>
        <v>10</v>
      </c>
      <c r="AE99" s="72"/>
      <c r="AF99" s="81" t="str">
        <f t="shared" si="41"/>
        <v>Selenastrum capricornutum</v>
      </c>
      <c r="AG99" s="81" t="str">
        <f t="shared" si="42"/>
        <v>NOEL</v>
      </c>
      <c r="AH99" s="81" t="str">
        <f t="shared" si="43"/>
        <v>Chronic</v>
      </c>
      <c r="AI99" s="81">
        <f>VLOOKUP(SUM(Z99,AC99),'Conversion tables'!$J$5:$K$11,2,FALSE)</f>
        <v>1</v>
      </c>
      <c r="AJ99" s="81" t="str">
        <f t="shared" si="44"/>
        <v>YES!!!</v>
      </c>
      <c r="AK99" s="80" t="str">
        <f>N99</f>
        <v>Biomass, Growth Rate, AUC</v>
      </c>
      <c r="AL99" s="81" t="s">
        <v>186</v>
      </c>
      <c r="AM99" s="81" t="str">
        <f>CONCATENATE(P99," ",Q99)</f>
        <v>5 Days</v>
      </c>
      <c r="AN99" s="81" t="s">
        <v>248</v>
      </c>
      <c r="AO99" s="77"/>
      <c r="AP99" s="81">
        <f>AD99</f>
        <v>10</v>
      </c>
      <c r="AQ99" s="80">
        <f>GEOMEAN(AP99)</f>
        <v>10</v>
      </c>
      <c r="AR99" s="118"/>
      <c r="AS99" s="118"/>
      <c r="AT99" s="80"/>
      <c r="AU99" s="80"/>
      <c r="AV99" s="80"/>
      <c r="BO99" s="77"/>
      <c r="BP99" s="77"/>
      <c r="BQ99" s="77"/>
    </row>
    <row r="100" spans="1:69" s="77" customFormat="1" thickTop="1" thickBot="1" x14ac:dyDescent="0.25">
      <c r="A100" s="86" t="s">
        <v>196</v>
      </c>
      <c r="B100" s="86" t="s">
        <v>192</v>
      </c>
      <c r="C100" s="86"/>
      <c r="D100" s="86" t="s">
        <v>95</v>
      </c>
      <c r="E100" s="118" t="s">
        <v>145</v>
      </c>
      <c r="F100" s="115" t="s">
        <v>96</v>
      </c>
      <c r="G100" s="115" t="s">
        <v>137</v>
      </c>
      <c r="H100" s="115" t="s">
        <v>17</v>
      </c>
      <c r="I100" s="115" t="s">
        <v>18</v>
      </c>
      <c r="J100" s="95" t="s">
        <v>193</v>
      </c>
      <c r="K100" s="86"/>
      <c r="L100" s="95" t="s">
        <v>194</v>
      </c>
      <c r="M100" s="68" t="s">
        <v>62</v>
      </c>
      <c r="N100" s="68" t="s">
        <v>173</v>
      </c>
      <c r="O100" s="86" t="s">
        <v>195</v>
      </c>
      <c r="P100" s="86">
        <v>6</v>
      </c>
      <c r="Q100" s="86" t="s">
        <v>110</v>
      </c>
      <c r="R100" s="86" t="s">
        <v>16</v>
      </c>
      <c r="S100" s="86"/>
      <c r="T100" s="86">
        <v>0.18</v>
      </c>
      <c r="U100" s="86" t="s">
        <v>232</v>
      </c>
      <c r="V100" s="98">
        <v>381.36380000000003</v>
      </c>
      <c r="W100" s="98">
        <f t="shared" si="39"/>
        <v>68.645483999999996</v>
      </c>
      <c r="X100" s="76"/>
      <c r="Y100" s="86" t="str">
        <f t="shared" si="45"/>
        <v>EC20</v>
      </c>
      <c r="Z100" s="118">
        <f>VLOOKUP(Y100,'Conversion tables'!$C$5:$E$19,2,FALSE)</f>
        <v>2</v>
      </c>
      <c r="AA100" s="118">
        <f t="shared" si="40"/>
        <v>34.322741999999998</v>
      </c>
      <c r="AB100" s="118" t="str">
        <f t="shared" si="46"/>
        <v>Chronic</v>
      </c>
      <c r="AC100" s="118">
        <f>VLOOKUP(AB100,'Conversion tables'!$C$22:$E$23,2,FALSE)</f>
        <v>1</v>
      </c>
      <c r="AD100" s="118">
        <f>AA100/AC100</f>
        <v>34.322741999999998</v>
      </c>
      <c r="AE100" s="72"/>
      <c r="AF100" s="81" t="str">
        <f t="shared" si="41"/>
        <v>Selenastrum capricornutum</v>
      </c>
      <c r="AG100" s="81" t="str">
        <f t="shared" si="42"/>
        <v>EC20</v>
      </c>
      <c r="AH100" s="81" t="str">
        <f t="shared" si="43"/>
        <v>Chronic</v>
      </c>
      <c r="AI100" s="78">
        <v>2</v>
      </c>
      <c r="AJ100" s="81" t="str">
        <f t="shared" si="44"/>
        <v>Reject</v>
      </c>
      <c r="AK100" s="80"/>
      <c r="AL100" s="81"/>
      <c r="AM100" s="81"/>
      <c r="AN100" s="81"/>
      <c r="AP100" s="81"/>
      <c r="AQ100" s="80"/>
      <c r="AR100" s="80"/>
      <c r="AS100" s="80"/>
      <c r="AT100" s="80"/>
      <c r="AU100" s="80"/>
      <c r="AV100" s="80"/>
      <c r="AW100" s="80"/>
      <c r="AX100" s="80"/>
      <c r="AY100" s="80"/>
      <c r="AZ100" s="80"/>
      <c r="BA100" s="80"/>
      <c r="BB100" s="80"/>
      <c r="BC100" s="80"/>
      <c r="BD100" s="89"/>
      <c r="BE100" s="89"/>
      <c r="BF100" s="89"/>
      <c r="BG100" s="89"/>
      <c r="BH100" s="89"/>
      <c r="BI100" s="89"/>
      <c r="BJ100" s="89"/>
      <c r="BK100" s="89"/>
      <c r="BL100" s="89"/>
      <c r="BM100" s="89"/>
      <c r="BO100" s="89"/>
      <c r="BP100" s="89"/>
      <c r="BQ100" s="89"/>
    </row>
    <row r="101" spans="1:69" s="77" customFormat="1" thickTop="1" thickBot="1" x14ac:dyDescent="0.25">
      <c r="A101" s="86" t="s">
        <v>196</v>
      </c>
      <c r="B101" s="86" t="s">
        <v>197</v>
      </c>
      <c r="C101" s="86"/>
      <c r="D101" s="86" t="s">
        <v>95</v>
      </c>
      <c r="E101" s="118" t="s">
        <v>145</v>
      </c>
      <c r="F101" s="116" t="s">
        <v>96</v>
      </c>
      <c r="G101" s="116" t="s">
        <v>137</v>
      </c>
      <c r="H101" s="116" t="s">
        <v>17</v>
      </c>
      <c r="I101" s="116" t="s">
        <v>18</v>
      </c>
      <c r="J101" s="95" t="s">
        <v>193</v>
      </c>
      <c r="K101" s="86"/>
      <c r="L101" s="119" t="s">
        <v>194</v>
      </c>
      <c r="M101" s="68" t="s">
        <v>62</v>
      </c>
      <c r="N101" s="68" t="s">
        <v>173</v>
      </c>
      <c r="O101" s="86" t="s">
        <v>15</v>
      </c>
      <c r="P101" s="86">
        <v>6</v>
      </c>
      <c r="Q101" s="86" t="s">
        <v>110</v>
      </c>
      <c r="R101" s="86" t="s">
        <v>16</v>
      </c>
      <c r="S101" s="86"/>
      <c r="T101" s="86">
        <v>4.0999999999999996</v>
      </c>
      <c r="U101" s="86" t="s">
        <v>233</v>
      </c>
      <c r="V101" s="98">
        <v>381.36380000000003</v>
      </c>
      <c r="W101" s="98">
        <f t="shared" si="39"/>
        <v>1563.59158</v>
      </c>
      <c r="X101" s="76"/>
      <c r="Y101" s="86" t="str">
        <f t="shared" si="45"/>
        <v>EC50</v>
      </c>
      <c r="Z101" s="118">
        <f>VLOOKUP(Y101,'Conversion tables'!$C$5:$E$19,2,FALSE)</f>
        <v>5</v>
      </c>
      <c r="AA101" s="98">
        <f t="shared" si="40"/>
        <v>312.71831600000002</v>
      </c>
      <c r="AB101" s="86" t="str">
        <f t="shared" si="46"/>
        <v>Chronic</v>
      </c>
      <c r="AC101" s="86">
        <f>VLOOKUP(AB101,'Conversion tables'!$C$22:$E$23,2,FALSE)</f>
        <v>1</v>
      </c>
      <c r="AD101" s="98">
        <f t="shared" si="47"/>
        <v>312.71831600000002</v>
      </c>
      <c r="AE101" s="72"/>
      <c r="AF101" s="81" t="str">
        <f t="shared" si="41"/>
        <v>Selenastrum capricornutum</v>
      </c>
      <c r="AG101" s="81" t="str">
        <f t="shared" si="42"/>
        <v>EC50</v>
      </c>
      <c r="AH101" s="81" t="str">
        <f t="shared" si="43"/>
        <v>Chronic</v>
      </c>
      <c r="AI101" s="81">
        <f>VLOOKUP(SUM(Z101,AC101),'Conversion tables'!$J$5:$K$11,2,FALSE)</f>
        <v>2</v>
      </c>
      <c r="AJ101" s="81" t="str">
        <f t="shared" si="44"/>
        <v>Reject</v>
      </c>
      <c r="AK101" s="80"/>
      <c r="AL101" s="81"/>
      <c r="AM101" s="81"/>
      <c r="AN101" s="81"/>
      <c r="AP101" s="81"/>
      <c r="AQ101" s="80"/>
      <c r="AR101" s="80"/>
      <c r="AS101" s="80"/>
      <c r="AT101" s="80"/>
      <c r="AU101" s="80"/>
      <c r="AV101" s="80"/>
      <c r="AW101" s="80"/>
      <c r="AX101" s="80"/>
      <c r="AY101" s="80"/>
      <c r="AZ101" s="80"/>
      <c r="BA101" s="80"/>
      <c r="BB101" s="80"/>
      <c r="BC101" s="80"/>
      <c r="BD101" s="89"/>
      <c r="BE101" s="89"/>
      <c r="BF101" s="89"/>
      <c r="BG101" s="89"/>
      <c r="BH101" s="89"/>
      <c r="BI101" s="89"/>
      <c r="BJ101" s="89"/>
      <c r="BK101" s="89"/>
      <c r="BL101" s="89"/>
      <c r="BM101" s="89"/>
      <c r="BO101" s="89"/>
      <c r="BP101" s="89"/>
      <c r="BQ101" s="89"/>
    </row>
    <row r="102" spans="1:69" s="77" customFormat="1" thickTop="1" thickBot="1" x14ac:dyDescent="0.25">
      <c r="A102" s="137" t="s">
        <v>230</v>
      </c>
      <c r="B102" s="137" t="s">
        <v>229</v>
      </c>
      <c r="C102" s="137"/>
      <c r="D102" s="137" t="s">
        <v>95</v>
      </c>
      <c r="E102" s="137" t="s">
        <v>145</v>
      </c>
      <c r="F102" s="137" t="s">
        <v>96</v>
      </c>
      <c r="G102" s="137" t="s">
        <v>137</v>
      </c>
      <c r="H102" s="137" t="s">
        <v>17</v>
      </c>
      <c r="I102" s="137" t="s">
        <v>18</v>
      </c>
      <c r="J102" s="137" t="s">
        <v>98</v>
      </c>
      <c r="K102" s="137"/>
      <c r="L102" s="137" t="s">
        <v>237</v>
      </c>
      <c r="M102" s="137" t="s">
        <v>178</v>
      </c>
      <c r="N102" s="137" t="s">
        <v>238</v>
      </c>
      <c r="O102" s="137" t="s">
        <v>15</v>
      </c>
      <c r="P102" s="137">
        <v>96</v>
      </c>
      <c r="Q102" s="137" t="s">
        <v>160</v>
      </c>
      <c r="R102" s="137" t="s">
        <v>16</v>
      </c>
      <c r="S102" s="137"/>
      <c r="T102" s="137">
        <v>77</v>
      </c>
      <c r="U102" s="137" t="s">
        <v>67</v>
      </c>
      <c r="V102" s="137">
        <f>VLOOKUP(U102,'Conversion tables'!$M$5:$O$8,3,FALSE)</f>
        <v>1</v>
      </c>
      <c r="W102" s="137">
        <f t="shared" si="39"/>
        <v>77</v>
      </c>
      <c r="X102" s="138"/>
      <c r="Y102" s="137" t="str">
        <f t="shared" si="45"/>
        <v>EC50</v>
      </c>
      <c r="Z102" s="137">
        <f>VLOOKUP(Y102,'Conversion tables'!$C$5:$J$18,2,FALSE)</f>
        <v>5</v>
      </c>
      <c r="AA102" s="137">
        <f t="shared" si="40"/>
        <v>15.4</v>
      </c>
      <c r="AB102" s="137" t="str">
        <f t="shared" si="46"/>
        <v>Chronic</v>
      </c>
      <c r="AC102" s="137">
        <f>VLOOKUP(AB102,'Conversion tables'!$C$22:$E$23,2,FALSE)</f>
        <v>1</v>
      </c>
      <c r="AD102" s="137">
        <f t="shared" si="47"/>
        <v>15.4</v>
      </c>
      <c r="AE102" s="139"/>
      <c r="AF102" s="140" t="str">
        <f t="shared" si="41"/>
        <v>Selenastrum capricornutum</v>
      </c>
      <c r="AG102" s="140" t="str">
        <f t="shared" si="42"/>
        <v>EC50</v>
      </c>
      <c r="AH102" s="140" t="str">
        <f t="shared" si="43"/>
        <v>Chronic</v>
      </c>
      <c r="AI102" s="140">
        <f>VLOOKUP(SUM(Z102,AC102),'Conversion tables'!$J$5:$K$11,2,FALSE)</f>
        <v>2</v>
      </c>
      <c r="AJ102" s="140" t="str">
        <f t="shared" si="44"/>
        <v>Reject</v>
      </c>
      <c r="AK102" s="141"/>
      <c r="AL102" s="140"/>
      <c r="AM102" s="140"/>
      <c r="AN102" s="140"/>
      <c r="AO102" s="141"/>
      <c r="AP102" s="140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89"/>
      <c r="BE102" s="89"/>
      <c r="BF102" s="89"/>
      <c r="BG102" s="89"/>
      <c r="BH102" s="89"/>
      <c r="BI102" s="89"/>
      <c r="BJ102" s="89"/>
      <c r="BK102" s="89"/>
      <c r="BL102" s="89"/>
      <c r="BM102" s="89"/>
    </row>
    <row r="103" spans="1:69" s="77" customFormat="1" thickTop="1" thickBot="1" x14ac:dyDescent="0.25">
      <c r="A103" s="137" t="s">
        <v>230</v>
      </c>
      <c r="B103" s="137" t="s">
        <v>231</v>
      </c>
      <c r="C103" s="137"/>
      <c r="D103" s="137" t="s">
        <v>95</v>
      </c>
      <c r="E103" s="137" t="s">
        <v>145</v>
      </c>
      <c r="F103" s="137" t="s">
        <v>96</v>
      </c>
      <c r="G103" s="137" t="s">
        <v>137</v>
      </c>
      <c r="H103" s="137" t="s">
        <v>17</v>
      </c>
      <c r="I103" s="137" t="s">
        <v>18</v>
      </c>
      <c r="J103" s="137" t="s">
        <v>98</v>
      </c>
      <c r="K103" s="137"/>
      <c r="L103" s="137" t="s">
        <v>237</v>
      </c>
      <c r="M103" s="137" t="s">
        <v>178</v>
      </c>
      <c r="N103" s="137" t="s">
        <v>238</v>
      </c>
      <c r="O103" s="137" t="s">
        <v>22</v>
      </c>
      <c r="P103" s="137">
        <v>96</v>
      </c>
      <c r="Q103" s="137" t="s">
        <v>160</v>
      </c>
      <c r="R103" s="137" t="s">
        <v>16</v>
      </c>
      <c r="S103" s="137"/>
      <c r="T103" s="137">
        <v>19</v>
      </c>
      <c r="U103" s="137" t="s">
        <v>67</v>
      </c>
      <c r="V103" s="137">
        <f>VLOOKUP(U103,'Conversion tables'!$M$5:$O$8,3,FALSE)</f>
        <v>1</v>
      </c>
      <c r="W103" s="137">
        <f t="shared" si="39"/>
        <v>19</v>
      </c>
      <c r="X103" s="138"/>
      <c r="Y103" s="137" t="str">
        <f t="shared" si="45"/>
        <v>LOEC</v>
      </c>
      <c r="Z103" s="137">
        <f>VLOOKUP(Y103,'Conversion tables'!$C$5:$J$18,2,FALSE)</f>
        <v>2.5</v>
      </c>
      <c r="AA103" s="137">
        <f t="shared" si="40"/>
        <v>7.6</v>
      </c>
      <c r="AB103" s="137" t="str">
        <f t="shared" si="46"/>
        <v>Chronic</v>
      </c>
      <c r="AC103" s="137">
        <f>VLOOKUP(AB103,'Conversion tables'!$C$22:$E$23,2,FALSE)</f>
        <v>1</v>
      </c>
      <c r="AD103" s="137">
        <f t="shared" si="47"/>
        <v>7.6</v>
      </c>
      <c r="AE103" s="139"/>
      <c r="AF103" s="140" t="str">
        <f t="shared" si="41"/>
        <v>Selenastrum capricornutum</v>
      </c>
      <c r="AG103" s="140" t="str">
        <f t="shared" si="42"/>
        <v>LOEC</v>
      </c>
      <c r="AH103" s="140" t="str">
        <f t="shared" si="43"/>
        <v>Chronic</v>
      </c>
      <c r="AI103" s="140">
        <f>VLOOKUP(SUM(Z103,AC103),'Conversion tables'!$J$5:$K$11,2,FALSE)</f>
        <v>2</v>
      </c>
      <c r="AJ103" s="140" t="str">
        <f t="shared" si="44"/>
        <v>Reject</v>
      </c>
      <c r="AK103" s="141"/>
      <c r="AL103" s="140"/>
      <c r="AM103" s="140"/>
      <c r="AN103" s="140"/>
      <c r="AO103" s="141"/>
      <c r="AP103" s="140"/>
      <c r="AQ103" s="141"/>
      <c r="AR103" s="141"/>
      <c r="AS103" s="141"/>
      <c r="AT103" s="141"/>
      <c r="AU103" s="141"/>
      <c r="AV103" s="141"/>
      <c r="AW103" s="141"/>
      <c r="AX103" s="141"/>
      <c r="AY103" s="141"/>
      <c r="AZ103" s="141"/>
      <c r="BA103" s="141"/>
      <c r="BB103" s="141"/>
      <c r="BC103" s="141"/>
      <c r="BD103" s="89"/>
      <c r="BE103" s="89"/>
      <c r="BF103" s="89"/>
      <c r="BG103" s="89"/>
      <c r="BH103" s="89"/>
      <c r="BI103" s="89"/>
      <c r="BJ103" s="89"/>
      <c r="BK103" s="89"/>
      <c r="BL103" s="89"/>
      <c r="BM103" s="89"/>
    </row>
    <row r="104" spans="1:69" s="77" customFormat="1" thickTop="1" thickBot="1" x14ac:dyDescent="0.25">
      <c r="A104" s="71"/>
      <c r="B104" s="71"/>
      <c r="C104" s="50"/>
      <c r="D104" s="50"/>
      <c r="E104" s="72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8"/>
      <c r="U104" s="58"/>
      <c r="V104" s="58"/>
      <c r="W104" s="58"/>
      <c r="X104" s="50"/>
      <c r="Y104" s="50"/>
      <c r="Z104" s="50"/>
      <c r="AA104" s="50"/>
      <c r="AB104" s="50"/>
      <c r="AC104" s="50"/>
      <c r="AD104" s="50"/>
      <c r="AE104" s="72"/>
      <c r="AF104" s="58"/>
      <c r="AG104" s="50"/>
      <c r="AH104" s="50"/>
      <c r="AI104" s="50"/>
      <c r="AJ104" s="84"/>
      <c r="AK104" s="50"/>
      <c r="AL104" s="84"/>
      <c r="AM104" s="84"/>
      <c r="AN104" s="84"/>
      <c r="AO104" s="50"/>
      <c r="AP104" s="58"/>
      <c r="AQ104" s="50"/>
      <c r="AR104" s="50"/>
      <c r="AS104" s="50"/>
      <c r="AT104" s="50"/>
      <c r="AU104" s="50"/>
      <c r="AV104" s="50"/>
      <c r="AW104" s="72"/>
      <c r="AX104" s="50"/>
      <c r="AY104" s="50"/>
      <c r="AZ104" s="50"/>
      <c r="BA104" s="50"/>
      <c r="BB104" s="50"/>
      <c r="BC104" s="88"/>
      <c r="BD104" s="89"/>
      <c r="BE104" s="89"/>
    </row>
    <row r="105" spans="1:69" s="77" customFormat="1" thickTop="1" thickBot="1" x14ac:dyDescent="0.25">
      <c r="A105" s="75">
        <v>614</v>
      </c>
      <c r="B105" s="75" t="s">
        <v>146</v>
      </c>
      <c r="C105" s="75"/>
      <c r="D105" s="75" t="s">
        <v>95</v>
      </c>
      <c r="E105" s="118" t="s">
        <v>147</v>
      </c>
      <c r="F105" s="117" t="s">
        <v>96</v>
      </c>
      <c r="G105" s="117" t="s">
        <v>137</v>
      </c>
      <c r="H105" s="117" t="s">
        <v>17</v>
      </c>
      <c r="I105" s="117" t="s">
        <v>18</v>
      </c>
      <c r="J105" s="75" t="s">
        <v>98</v>
      </c>
      <c r="K105" s="75"/>
      <c r="L105" s="75" t="s">
        <v>99</v>
      </c>
      <c r="M105" s="68" t="s">
        <v>177</v>
      </c>
      <c r="N105" s="68" t="s">
        <v>184</v>
      </c>
      <c r="O105" s="75" t="s">
        <v>15</v>
      </c>
      <c r="P105" s="75">
        <v>96</v>
      </c>
      <c r="Q105" s="75" t="s">
        <v>100</v>
      </c>
      <c r="R105" s="75" t="s">
        <v>16</v>
      </c>
      <c r="S105" s="75"/>
      <c r="T105" s="75">
        <v>72.781999999999996</v>
      </c>
      <c r="U105" s="75" t="s">
        <v>66</v>
      </c>
      <c r="V105" s="75">
        <f>VLOOKUP(U105,'Conversion tables'!$M$5:$O$8,3,FALSE)</f>
        <v>1000</v>
      </c>
      <c r="W105" s="75">
        <f>V105*T105</f>
        <v>72782</v>
      </c>
      <c r="X105"/>
      <c r="Y105" s="75" t="str">
        <f>O105</f>
        <v>EC50</v>
      </c>
      <c r="Z105" s="118">
        <f>VLOOKUP(Y105,'Conversion tables'!$C$5:$E$19,2,FALSE)</f>
        <v>5</v>
      </c>
      <c r="AA105" s="86">
        <f>W105/Z105</f>
        <v>14556.4</v>
      </c>
      <c r="AB105" s="86" t="str">
        <f>R105</f>
        <v>Chronic</v>
      </c>
      <c r="AC105" s="86">
        <f>VLOOKUP(AB105,'Conversion tables'!$C$22:$E$23,2,FALSE)</f>
        <v>1</v>
      </c>
      <c r="AD105" s="86">
        <f>AA105/AC105</f>
        <v>14556.4</v>
      </c>
      <c r="AE105" s="50"/>
      <c r="AF105" s="81" t="str">
        <f>E105</f>
        <v>Scenedesmus obliquus</v>
      </c>
      <c r="AG105" s="81" t="str">
        <f>O105</f>
        <v>EC50</v>
      </c>
      <c r="AH105" s="81" t="str">
        <f>R105</f>
        <v>Chronic</v>
      </c>
      <c r="AI105" s="81">
        <f>VLOOKUP(SUM(Z105,AC105),'Conversion tables'!$J$5:$K$11,2,FALSE)</f>
        <v>2</v>
      </c>
      <c r="AJ105" s="81" t="str">
        <f>IF(AI105=MIN($AI$105),"YES!!!","Reject")</f>
        <v>YES!!!</v>
      </c>
      <c r="AK105" s="80" t="str">
        <f>N105</f>
        <v>Cell Density</v>
      </c>
      <c r="AL105" s="81" t="s">
        <v>185</v>
      </c>
      <c r="AM105" s="81" t="str">
        <f>CONCATENATE(P105," ",Q105)</f>
        <v>96 Hours</v>
      </c>
      <c r="AN105" s="81" t="s">
        <v>187</v>
      </c>
      <c r="AO105" s="2"/>
      <c r="AP105" s="81">
        <f>AD105</f>
        <v>14556.4</v>
      </c>
      <c r="AQ105" s="80">
        <f>GEOMEAN(AP105)</f>
        <v>14556.4</v>
      </c>
      <c r="AR105" s="118">
        <f>MIN(AQ105)</f>
        <v>14556.4</v>
      </c>
      <c r="AS105" s="118">
        <f>MIN(AR105)</f>
        <v>14556.4</v>
      </c>
      <c r="AT105" s="147" t="s">
        <v>290</v>
      </c>
      <c r="AU105" s="6"/>
      <c r="AV105" s="6"/>
      <c r="AW105" s="76" t="str">
        <f>H105</f>
        <v>Microalgae</v>
      </c>
      <c r="AX105" s="76" t="str">
        <f>E105</f>
        <v>Scenedesmus obliquus</v>
      </c>
      <c r="AY105" s="76" t="str">
        <f>F105</f>
        <v>Chlorophyta</v>
      </c>
      <c r="AZ105" s="76" t="str">
        <f>G105</f>
        <v>Chlorophyceae</v>
      </c>
      <c r="BA105" s="76" t="str">
        <f>I105</f>
        <v>Phototroph</v>
      </c>
      <c r="BB105" s="76">
        <f>AI105</f>
        <v>2</v>
      </c>
      <c r="BC105" s="80">
        <f>AS105</f>
        <v>14556.4</v>
      </c>
      <c r="BD105" s="147" t="s">
        <v>290</v>
      </c>
      <c r="BE105" s="89"/>
    </row>
    <row r="106" spans="1:69" s="77" customFormat="1" thickTop="1" thickBot="1" x14ac:dyDescent="0.25">
      <c r="A106" s="71"/>
      <c r="B106" s="71"/>
      <c r="C106" s="50"/>
      <c r="D106" s="50"/>
      <c r="E106" s="72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8"/>
      <c r="U106" s="58"/>
      <c r="V106" s="58"/>
      <c r="W106" s="58"/>
      <c r="X106" s="50"/>
      <c r="Y106" s="50"/>
      <c r="Z106" s="50"/>
      <c r="AA106" s="50"/>
      <c r="AB106" s="50"/>
      <c r="AC106" s="50"/>
      <c r="AD106" s="50"/>
      <c r="AE106" s="50"/>
      <c r="AF106" s="58"/>
      <c r="AG106" s="50"/>
      <c r="AH106" s="50"/>
      <c r="AI106" s="50"/>
      <c r="AJ106" s="84"/>
      <c r="AK106" s="50"/>
      <c r="AL106" s="84"/>
      <c r="AM106" s="84"/>
      <c r="AN106" s="84"/>
      <c r="AO106" s="50"/>
      <c r="AP106" s="58"/>
      <c r="AQ106" s="50"/>
      <c r="AR106" s="50"/>
      <c r="AS106" s="50"/>
      <c r="AT106" s="50"/>
      <c r="AU106" s="50"/>
      <c r="AV106" s="50"/>
      <c r="AW106" s="72"/>
      <c r="AX106" s="50"/>
      <c r="AY106" s="50"/>
      <c r="AZ106" s="50"/>
      <c r="BA106" s="50"/>
      <c r="BB106" s="50"/>
      <c r="BC106" s="88"/>
      <c r="BD106" s="89"/>
      <c r="BE106" s="89"/>
    </row>
    <row r="107" spans="1:69" s="77" customFormat="1" thickTop="1" thickBot="1" x14ac:dyDescent="0.25">
      <c r="A107" s="75">
        <v>929</v>
      </c>
      <c r="B107" s="75" t="s">
        <v>148</v>
      </c>
      <c r="C107" s="75"/>
      <c r="D107" s="75" t="s">
        <v>95</v>
      </c>
      <c r="E107" s="118" t="s">
        <v>149</v>
      </c>
      <c r="F107" s="75" t="s">
        <v>96</v>
      </c>
      <c r="G107" s="75" t="s">
        <v>137</v>
      </c>
      <c r="H107" s="75" t="s">
        <v>17</v>
      </c>
      <c r="I107" s="75" t="s">
        <v>18</v>
      </c>
      <c r="J107" s="75" t="s">
        <v>98</v>
      </c>
      <c r="K107" s="75"/>
      <c r="L107" s="75" t="s">
        <v>150</v>
      </c>
      <c r="M107" s="68" t="s">
        <v>172</v>
      </c>
      <c r="N107" s="68" t="s">
        <v>184</v>
      </c>
      <c r="O107" s="75" t="s">
        <v>151</v>
      </c>
      <c r="P107" s="75">
        <v>24</v>
      </c>
      <c r="Q107" s="75" t="s">
        <v>100</v>
      </c>
      <c r="R107" s="75" t="s">
        <v>49</v>
      </c>
      <c r="S107" s="75"/>
      <c r="T107" s="75">
        <v>0.17</v>
      </c>
      <c r="U107" s="75" t="s">
        <v>152</v>
      </c>
      <c r="V107" s="98">
        <v>381.36380000000003</v>
      </c>
      <c r="W107" s="98">
        <f>V107*T107</f>
        <v>64.831846000000013</v>
      </c>
      <c r="X107"/>
      <c r="Y107" s="75" t="str">
        <f t="shared" ref="Y107:Y114" si="48">O107</f>
        <v>EC05</v>
      </c>
      <c r="Z107" s="118">
        <f>VLOOKUP(Y107,'Conversion tables'!$C$5:$E$19,2,FALSE)</f>
        <v>1</v>
      </c>
      <c r="AA107" s="86">
        <f>W107/Z107</f>
        <v>64.831846000000013</v>
      </c>
      <c r="AB107" s="86" t="str">
        <f>R107</f>
        <v>Acute</v>
      </c>
      <c r="AC107" s="86">
        <f>VLOOKUP(AB107,'Conversion tables'!$C$22:$E$23,2,FALSE)</f>
        <v>2</v>
      </c>
      <c r="AD107" s="98">
        <f t="shared" ref="AD107:AD114" si="49">AA107/AC107</f>
        <v>32.415923000000006</v>
      </c>
      <c r="AE107" s="50"/>
      <c r="AF107" s="81" t="str">
        <f>E107</f>
        <v>Scenedesmus vacuolatus</v>
      </c>
      <c r="AG107" s="81" t="str">
        <f>O107</f>
        <v>EC05</v>
      </c>
      <c r="AH107" s="81" t="str">
        <f>R107</f>
        <v>Acute</v>
      </c>
      <c r="AI107" s="81" t="str">
        <f>VLOOKUP(SUM(Z107,AC107),'Conversion tables'!$J$5:$K$11,2,FALSE)</f>
        <v>Do Not Use</v>
      </c>
      <c r="AJ107" s="81" t="str">
        <f>IF(AI107=MIN($AI$107:$AI$109),"YES!!!","Reject")</f>
        <v>Reject</v>
      </c>
      <c r="AK107" s="80"/>
      <c r="AL107" s="81"/>
      <c r="AM107" s="81"/>
      <c r="AN107" s="81"/>
      <c r="AO107" s="2"/>
      <c r="AP107" s="81"/>
      <c r="AQ107" s="80"/>
      <c r="AR107" s="118"/>
      <c r="AS107" s="118"/>
      <c r="AT107" s="147" t="s">
        <v>290</v>
      </c>
      <c r="AU107" s="6"/>
      <c r="AV107" s="6"/>
      <c r="AW107" s="76"/>
      <c r="AX107" s="76"/>
      <c r="AY107" s="76"/>
      <c r="AZ107" s="76"/>
      <c r="BA107" s="76"/>
      <c r="BB107" s="76"/>
      <c r="BC107" s="80"/>
      <c r="BD107" s="89"/>
      <c r="BE107" s="89"/>
    </row>
    <row r="108" spans="1:69" s="89" customFormat="1" thickTop="1" thickBot="1" x14ac:dyDescent="0.25">
      <c r="A108" s="75">
        <v>929</v>
      </c>
      <c r="B108" s="75" t="s">
        <v>153</v>
      </c>
      <c r="C108" s="75"/>
      <c r="D108" s="75" t="s">
        <v>95</v>
      </c>
      <c r="E108" s="118" t="s">
        <v>149</v>
      </c>
      <c r="F108" s="75" t="s">
        <v>96</v>
      </c>
      <c r="G108" s="75" t="s">
        <v>137</v>
      </c>
      <c r="H108" s="75" t="s">
        <v>17</v>
      </c>
      <c r="I108" s="75" t="s">
        <v>18</v>
      </c>
      <c r="J108" s="75" t="s">
        <v>98</v>
      </c>
      <c r="K108" s="75"/>
      <c r="L108" s="75" t="s">
        <v>150</v>
      </c>
      <c r="M108" s="68" t="s">
        <v>172</v>
      </c>
      <c r="N108" s="68" t="s">
        <v>184</v>
      </c>
      <c r="O108" s="75" t="s">
        <v>15</v>
      </c>
      <c r="P108" s="75">
        <v>24</v>
      </c>
      <c r="Q108" s="75" t="s">
        <v>100</v>
      </c>
      <c r="R108" s="86" t="s">
        <v>49</v>
      </c>
      <c r="S108" s="75"/>
      <c r="T108" s="75">
        <v>3.05</v>
      </c>
      <c r="U108" s="75" t="s">
        <v>152</v>
      </c>
      <c r="V108" s="98">
        <v>381.36380000000003</v>
      </c>
      <c r="W108" s="98">
        <f>V108*T108</f>
        <v>1163.15959</v>
      </c>
      <c r="X108"/>
      <c r="Y108" s="75" t="str">
        <f t="shared" si="48"/>
        <v>EC50</v>
      </c>
      <c r="Z108" s="118">
        <f>VLOOKUP(Y108,'Conversion tables'!$C$5:$E$19,2,FALSE)</f>
        <v>5</v>
      </c>
      <c r="AA108" s="86">
        <f>W108/Z108</f>
        <v>232.63191799999998</v>
      </c>
      <c r="AB108" s="86" t="str">
        <f>R108</f>
        <v>Acute</v>
      </c>
      <c r="AC108" s="86">
        <f>VLOOKUP(AB108,'Conversion tables'!$C$22:$E$23,2,FALSE)</f>
        <v>2</v>
      </c>
      <c r="AD108" s="98">
        <f t="shared" si="49"/>
        <v>116.31595899999999</v>
      </c>
      <c r="AE108" s="50"/>
      <c r="AF108" s="81" t="str">
        <f>E108</f>
        <v>Scenedesmus vacuolatus</v>
      </c>
      <c r="AG108" s="81" t="str">
        <f>O108</f>
        <v>EC50</v>
      </c>
      <c r="AH108" s="81" t="str">
        <f>R108</f>
        <v>Acute</v>
      </c>
      <c r="AI108" s="81">
        <f>VLOOKUP(SUM(Z108,AC108),'Conversion tables'!$J$5:$K$11,2,FALSE)</f>
        <v>4</v>
      </c>
      <c r="AJ108" s="81" t="str">
        <f>IF(AI108=MIN($AI$107:$AI$109),"YES!!!","Reject")</f>
        <v>YES!!!</v>
      </c>
      <c r="AK108" s="80" t="str">
        <f>N108</f>
        <v>Cell Density</v>
      </c>
      <c r="AL108" s="81" t="s">
        <v>185</v>
      </c>
      <c r="AM108" s="81" t="str">
        <f>CONCATENATE(P108," ",Q108)</f>
        <v>24 Hours</v>
      </c>
      <c r="AN108" s="81" t="s">
        <v>187</v>
      </c>
      <c r="AO108" s="77"/>
      <c r="AP108" s="81">
        <f>AD108</f>
        <v>116.31595899999999</v>
      </c>
      <c r="AQ108" s="80">
        <f>GEOMEAN(AP108:AP110)</f>
        <v>116.31595899999999</v>
      </c>
      <c r="AR108" s="118">
        <f>MIN(AQ108:AQ110)</f>
        <v>116.31595899999999</v>
      </c>
      <c r="AS108" s="118">
        <f>MIN(AR108)</f>
        <v>116.31595899999999</v>
      </c>
      <c r="AT108" s="6"/>
      <c r="AU108" s="6"/>
      <c r="AV108" s="6"/>
      <c r="AW108" s="76" t="str">
        <f>H108</f>
        <v>Microalgae</v>
      </c>
      <c r="AX108" s="76" t="str">
        <f>E108</f>
        <v>Scenedesmus vacuolatus</v>
      </c>
      <c r="AY108" s="76" t="str">
        <f>F108</f>
        <v>Chlorophyta</v>
      </c>
      <c r="AZ108" s="76" t="str">
        <f>G108</f>
        <v>Chlorophyceae</v>
      </c>
      <c r="BA108" s="76" t="str">
        <f>I108</f>
        <v>Phototroph</v>
      </c>
      <c r="BB108" s="76">
        <f>AI108</f>
        <v>4</v>
      </c>
      <c r="BC108" s="143">
        <f>AS108</f>
        <v>116.31595899999999</v>
      </c>
      <c r="BD108" s="147" t="s">
        <v>290</v>
      </c>
      <c r="BF108" s="77"/>
      <c r="BG108" s="77"/>
      <c r="BH108" s="77"/>
      <c r="BI108" s="77"/>
      <c r="BJ108" s="77"/>
      <c r="BK108" s="77"/>
      <c r="BL108" s="77"/>
      <c r="BM108" s="77"/>
      <c r="BN108" s="77"/>
      <c r="BO108" s="77"/>
      <c r="BP108" s="77"/>
      <c r="BQ108" s="77"/>
    </row>
    <row r="109" spans="1:69" s="89" customFormat="1" thickTop="1" thickBot="1" x14ac:dyDescent="0.25">
      <c r="A109" s="75">
        <v>929</v>
      </c>
      <c r="B109" s="75" t="s">
        <v>154</v>
      </c>
      <c r="C109" s="75"/>
      <c r="D109" s="75" t="s">
        <v>95</v>
      </c>
      <c r="E109" s="118" t="s">
        <v>149</v>
      </c>
      <c r="F109" s="75" t="s">
        <v>96</v>
      </c>
      <c r="G109" s="75" t="s">
        <v>137</v>
      </c>
      <c r="H109" s="75" t="s">
        <v>17</v>
      </c>
      <c r="I109" s="75" t="s">
        <v>18</v>
      </c>
      <c r="J109" s="75" t="s">
        <v>98</v>
      </c>
      <c r="K109" s="75"/>
      <c r="L109" s="75" t="s">
        <v>150</v>
      </c>
      <c r="M109" s="68" t="s">
        <v>172</v>
      </c>
      <c r="N109" s="68" t="s">
        <v>184</v>
      </c>
      <c r="O109" s="75" t="s">
        <v>21</v>
      </c>
      <c r="P109" s="75">
        <v>24</v>
      </c>
      <c r="Q109" s="75" t="s">
        <v>100</v>
      </c>
      <c r="R109" s="86" t="s">
        <v>49</v>
      </c>
      <c r="S109" s="75"/>
      <c r="T109" s="75">
        <v>0.433</v>
      </c>
      <c r="U109" s="75" t="s">
        <v>152</v>
      </c>
      <c r="V109" s="98">
        <v>381.36380000000003</v>
      </c>
      <c r="W109" s="98">
        <f>V109*T109</f>
        <v>165.13052540000001</v>
      </c>
      <c r="X109"/>
      <c r="Y109" s="75" t="str">
        <f t="shared" si="48"/>
        <v>NOEC</v>
      </c>
      <c r="Z109" s="118">
        <f>VLOOKUP(Y109,'Conversion tables'!$C$5:$E$19,2,FALSE)</f>
        <v>1</v>
      </c>
      <c r="AA109" s="86">
        <f>W109/Z109</f>
        <v>165.13052540000001</v>
      </c>
      <c r="AB109" s="86" t="str">
        <f>R109</f>
        <v>Acute</v>
      </c>
      <c r="AC109" s="86">
        <f>VLOOKUP(AB109,'Conversion tables'!$C$22:$E$23,2,FALSE)</f>
        <v>2</v>
      </c>
      <c r="AD109" s="97">
        <f t="shared" si="49"/>
        <v>82.565262700000005</v>
      </c>
      <c r="AE109" s="50"/>
      <c r="AF109" s="81" t="str">
        <f>E109</f>
        <v>Scenedesmus vacuolatus</v>
      </c>
      <c r="AG109" s="81" t="str">
        <f>O109</f>
        <v>NOEC</v>
      </c>
      <c r="AH109" s="81" t="str">
        <f>R109</f>
        <v>Acute</v>
      </c>
      <c r="AI109" s="81" t="str">
        <f>VLOOKUP(SUM(Z109,AC109),'Conversion tables'!$J$5:$K$11,2,FALSE)</f>
        <v>Do Not Use</v>
      </c>
      <c r="AJ109" s="81" t="str">
        <f>IF(AI109=MIN($AI$107:$AI$109),"YES!!!","Reject")</f>
        <v>Reject</v>
      </c>
      <c r="AK109" s="80"/>
      <c r="AL109" s="81"/>
      <c r="AM109" s="81"/>
      <c r="AN109" s="81"/>
      <c r="AO109" s="2"/>
      <c r="AP109" s="81"/>
      <c r="AQ109" s="6"/>
      <c r="AR109" s="6"/>
      <c r="AS109" s="6"/>
      <c r="AT109" s="6"/>
      <c r="AU109" s="6"/>
      <c r="AV109" s="6"/>
      <c r="AW109" s="80"/>
      <c r="AX109" s="6"/>
      <c r="AY109" s="6"/>
      <c r="AZ109" s="6"/>
      <c r="BA109" s="6"/>
      <c r="BB109" s="6"/>
      <c r="BC109" s="6"/>
      <c r="BF109" s="77"/>
      <c r="BG109" s="77"/>
      <c r="BH109" s="77"/>
      <c r="BI109" s="77"/>
      <c r="BJ109" s="77"/>
      <c r="BK109" s="77"/>
      <c r="BL109" s="77"/>
      <c r="BM109" s="77"/>
      <c r="BN109" s="77"/>
      <c r="BO109" s="77"/>
      <c r="BP109" s="77"/>
      <c r="BQ109" s="77"/>
    </row>
    <row r="110" spans="1:69" s="89" customFormat="1" thickTop="1" thickBot="1" x14ac:dyDescent="0.25">
      <c r="A110" s="71"/>
      <c r="B110" s="71"/>
      <c r="C110" s="72"/>
      <c r="D110" s="72"/>
      <c r="E110" s="72"/>
      <c r="F110" s="72"/>
      <c r="G110" s="72"/>
      <c r="H110" s="72"/>
      <c r="I110" s="72"/>
      <c r="J110" s="72"/>
      <c r="K110" s="72"/>
      <c r="L110" s="72"/>
      <c r="M110" s="72"/>
      <c r="N110" s="72"/>
      <c r="O110" s="72"/>
      <c r="P110" s="72"/>
      <c r="Q110" s="72"/>
      <c r="R110" s="72"/>
      <c r="S110" s="72"/>
      <c r="T110" s="84"/>
      <c r="U110" s="84"/>
      <c r="V110" s="84"/>
      <c r="W110" s="84"/>
      <c r="X110" s="72"/>
      <c r="Y110" s="72"/>
      <c r="Z110" s="72"/>
      <c r="AA110" s="72"/>
      <c r="AB110" s="72"/>
      <c r="AC110" s="72"/>
      <c r="AD110" s="72"/>
      <c r="AE110" s="72"/>
      <c r="AF110" s="84"/>
      <c r="AG110" s="72"/>
      <c r="AH110" s="72"/>
      <c r="AI110" s="72"/>
      <c r="AJ110" s="84"/>
      <c r="AK110" s="72"/>
      <c r="AL110" s="84"/>
      <c r="AM110" s="84"/>
      <c r="AN110" s="84"/>
      <c r="AO110" s="72"/>
      <c r="AP110" s="84"/>
      <c r="AQ110" s="72"/>
      <c r="AR110" s="72"/>
      <c r="AS110" s="72"/>
      <c r="AT110" s="72"/>
      <c r="AU110" s="72"/>
      <c r="AV110" s="72"/>
      <c r="AW110" s="72"/>
      <c r="AX110" s="72"/>
      <c r="AY110" s="72"/>
      <c r="AZ110" s="72"/>
      <c r="BA110" s="72"/>
      <c r="BB110" s="72"/>
      <c r="BC110" s="88"/>
      <c r="BF110" s="77"/>
      <c r="BG110" s="77"/>
      <c r="BH110" s="77"/>
      <c r="BI110" s="77"/>
      <c r="BJ110" s="77"/>
      <c r="BK110" s="77"/>
      <c r="BL110" s="77"/>
      <c r="BM110" s="77"/>
      <c r="BN110" s="77"/>
      <c r="BO110" s="77"/>
      <c r="BP110" s="77"/>
      <c r="BQ110" s="77"/>
    </row>
    <row r="111" spans="1:69" s="89" customFormat="1" thickTop="1" thickBot="1" x14ac:dyDescent="0.25">
      <c r="A111" s="86" t="s">
        <v>228</v>
      </c>
      <c r="B111" s="86" t="s">
        <v>225</v>
      </c>
      <c r="C111" s="86"/>
      <c r="D111" s="86" t="s">
        <v>95</v>
      </c>
      <c r="E111" s="118" t="s">
        <v>226</v>
      </c>
      <c r="F111" s="118" t="s">
        <v>96</v>
      </c>
      <c r="G111" s="118" t="s">
        <v>137</v>
      </c>
      <c r="H111" s="118" t="s">
        <v>17</v>
      </c>
      <c r="I111" s="118" t="s">
        <v>18</v>
      </c>
      <c r="J111" s="86" t="s">
        <v>98</v>
      </c>
      <c r="K111" s="86"/>
      <c r="L111" s="86" t="s">
        <v>227</v>
      </c>
      <c r="M111" s="68" t="s">
        <v>177</v>
      </c>
      <c r="N111" s="68" t="s">
        <v>184</v>
      </c>
      <c r="O111" s="86" t="s">
        <v>15</v>
      </c>
      <c r="P111" s="86">
        <v>96</v>
      </c>
      <c r="Q111" s="86" t="s">
        <v>100</v>
      </c>
      <c r="R111" s="86" t="s">
        <v>16</v>
      </c>
      <c r="S111" s="86"/>
      <c r="T111" s="86">
        <v>5.6</v>
      </c>
      <c r="U111" s="86" t="s">
        <v>66</v>
      </c>
      <c r="V111" s="86">
        <f>VLOOKUP(U111,'Conversion tables'!$M$5:$O$8,3,FALSE)</f>
        <v>1000</v>
      </c>
      <c r="W111" s="86">
        <f>V111*T111</f>
        <v>5600</v>
      </c>
      <c r="X111" s="76"/>
      <c r="Y111" s="86" t="str">
        <f t="shared" si="48"/>
        <v>EC50</v>
      </c>
      <c r="Z111" s="118">
        <f>VLOOKUP(Y111,'Conversion tables'!$C$5:$E$19,2,FALSE)</f>
        <v>5</v>
      </c>
      <c r="AA111" s="86">
        <f>W111/Z111</f>
        <v>1120</v>
      </c>
      <c r="AB111" s="86" t="str">
        <f>R111</f>
        <v>Chronic</v>
      </c>
      <c r="AC111" s="86">
        <f>VLOOKUP(AB111,'Conversion tables'!$C$22:$E$23,2,FALSE)</f>
        <v>1</v>
      </c>
      <c r="AD111" s="86">
        <f t="shared" si="49"/>
        <v>1120</v>
      </c>
      <c r="AE111" s="72"/>
      <c r="AF111" s="81" t="str">
        <f>E111</f>
        <v>Scenedesmus quadricauda</v>
      </c>
      <c r="AG111" s="81" t="str">
        <f>O111</f>
        <v>EC50</v>
      </c>
      <c r="AH111" s="81" t="str">
        <f>R111</f>
        <v>Chronic</v>
      </c>
      <c r="AI111" s="81">
        <f>VLOOKUP(SUM(Z111,AC111),'Conversion tables'!$J$5:$K$11,2,FALSE)</f>
        <v>2</v>
      </c>
      <c r="AJ111" s="81" t="str">
        <f>IF(AI111=MIN($AI$111),"YES!!!","Reject")</f>
        <v>YES!!!</v>
      </c>
      <c r="AK111" s="80" t="str">
        <f>N111</f>
        <v>Cell Density</v>
      </c>
      <c r="AL111" s="81" t="s">
        <v>185</v>
      </c>
      <c r="AM111" s="81" t="str">
        <f>CONCATENATE(P111," ",Q111)</f>
        <v>96 Hours</v>
      </c>
      <c r="AN111" s="81" t="s">
        <v>187</v>
      </c>
      <c r="AO111" s="77"/>
      <c r="AP111" s="81">
        <f>AD111</f>
        <v>1120</v>
      </c>
      <c r="AQ111" s="80">
        <f>GEOMEAN(AP111)</f>
        <v>1120</v>
      </c>
      <c r="AR111" s="118">
        <f>MIN(AQ111)</f>
        <v>1120</v>
      </c>
      <c r="AS111" s="118">
        <f>MIN(AR111)</f>
        <v>1120</v>
      </c>
      <c r="AT111" s="147" t="s">
        <v>290</v>
      </c>
      <c r="AU111" s="80"/>
      <c r="AV111" s="80"/>
      <c r="AW111" s="76" t="str">
        <f>H111</f>
        <v>Microalgae</v>
      </c>
      <c r="AX111" s="76" t="str">
        <f>E111</f>
        <v>Scenedesmus quadricauda</v>
      </c>
      <c r="AY111" s="76" t="str">
        <f>F111</f>
        <v>Chlorophyta</v>
      </c>
      <c r="AZ111" s="76" t="str">
        <f>G111</f>
        <v>Chlorophyceae</v>
      </c>
      <c r="BA111" s="76" t="str">
        <f>I111</f>
        <v>Phototroph</v>
      </c>
      <c r="BB111" s="76">
        <f>AI111</f>
        <v>2</v>
      </c>
      <c r="BC111" s="80">
        <f>AS111</f>
        <v>1120</v>
      </c>
      <c r="BD111" s="147" t="s">
        <v>290</v>
      </c>
      <c r="BF111" s="77"/>
      <c r="BG111" s="77"/>
      <c r="BH111" s="77"/>
      <c r="BI111" s="77"/>
      <c r="BJ111" s="77"/>
      <c r="BK111" s="77"/>
      <c r="BL111" s="77"/>
      <c r="BM111" s="77"/>
      <c r="BN111" s="77"/>
      <c r="BO111" s="77"/>
      <c r="BP111" s="77"/>
      <c r="BQ111" s="77"/>
    </row>
    <row r="112" spans="1:69" s="89" customFormat="1" thickTop="1" thickBot="1" x14ac:dyDescent="0.25">
      <c r="A112" s="71"/>
      <c r="B112" s="71"/>
      <c r="C112" s="72"/>
      <c r="D112" s="72"/>
      <c r="E112" s="72"/>
      <c r="F112" s="72"/>
      <c r="G112" s="72"/>
      <c r="H112" s="72"/>
      <c r="I112" s="72"/>
      <c r="J112" s="72"/>
      <c r="K112" s="72"/>
      <c r="L112" s="72"/>
      <c r="M112" s="72"/>
      <c r="N112" s="72"/>
      <c r="O112" s="72"/>
      <c r="P112" s="72"/>
      <c r="Q112" s="72"/>
      <c r="R112" s="72"/>
      <c r="S112" s="72"/>
      <c r="T112" s="84"/>
      <c r="U112" s="84"/>
      <c r="V112" s="84"/>
      <c r="W112" s="84"/>
      <c r="X112" s="72"/>
      <c r="Y112" s="72"/>
      <c r="Z112" s="72"/>
      <c r="AA112" s="72"/>
      <c r="AB112" s="72"/>
      <c r="AC112" s="72"/>
      <c r="AD112" s="72"/>
      <c r="AE112" s="72"/>
      <c r="AF112" s="84"/>
      <c r="AG112" s="72"/>
      <c r="AH112" s="72"/>
      <c r="AI112" s="72"/>
      <c r="AJ112" s="84"/>
      <c r="AK112" s="72"/>
      <c r="AL112" s="84"/>
      <c r="AM112" s="84"/>
      <c r="AN112" s="84"/>
      <c r="AO112" s="72"/>
      <c r="AP112" s="84"/>
      <c r="AQ112" s="72"/>
      <c r="AR112" s="72"/>
      <c r="AS112" s="72"/>
      <c r="AT112" s="72"/>
      <c r="AU112" s="72"/>
      <c r="AV112" s="72"/>
      <c r="AW112" s="72"/>
      <c r="AX112" s="72"/>
      <c r="AY112" s="72"/>
      <c r="AZ112" s="72"/>
      <c r="BA112" s="72"/>
      <c r="BB112" s="72"/>
      <c r="BC112" s="88"/>
      <c r="BF112" s="77"/>
      <c r="BG112" s="77"/>
      <c r="BH112" s="77"/>
      <c r="BI112" s="77"/>
      <c r="BJ112" s="77"/>
      <c r="BK112" s="77"/>
      <c r="BL112" s="77"/>
      <c r="BM112" s="77"/>
      <c r="BN112" s="77"/>
      <c r="BO112" s="77"/>
      <c r="BP112" s="77"/>
      <c r="BQ112" s="77"/>
    </row>
    <row r="113" spans="1:69" s="89" customFormat="1" thickTop="1" thickBot="1" x14ac:dyDescent="0.25">
      <c r="A113" s="86" t="s">
        <v>201</v>
      </c>
      <c r="B113" s="86" t="s">
        <v>211</v>
      </c>
      <c r="C113" s="86"/>
      <c r="D113" s="86" t="s">
        <v>95</v>
      </c>
      <c r="E113" s="118" t="s">
        <v>234</v>
      </c>
      <c r="F113" s="86" t="s">
        <v>106</v>
      </c>
      <c r="G113" s="86" t="s">
        <v>107</v>
      </c>
      <c r="H113" s="86" t="s">
        <v>108</v>
      </c>
      <c r="I113" s="86" t="s">
        <v>18</v>
      </c>
      <c r="J113" s="86" t="s">
        <v>98</v>
      </c>
      <c r="K113" s="86"/>
      <c r="L113" s="86" t="s">
        <v>208</v>
      </c>
      <c r="M113" s="68" t="s">
        <v>62</v>
      </c>
      <c r="N113" s="68" t="s">
        <v>235</v>
      </c>
      <c r="O113" s="86" t="s">
        <v>15</v>
      </c>
      <c r="P113" s="86">
        <v>14</v>
      </c>
      <c r="Q113" s="86" t="s">
        <v>110</v>
      </c>
      <c r="R113" s="86" t="s">
        <v>16</v>
      </c>
      <c r="S113" s="86"/>
      <c r="T113" s="86">
        <v>0.32</v>
      </c>
      <c r="U113" s="86" t="s">
        <v>67</v>
      </c>
      <c r="V113" s="86">
        <f>VLOOKUP(U113,'Conversion tables'!$M$5:$O$8,3,FALSE)</f>
        <v>1</v>
      </c>
      <c r="W113" s="86">
        <f>V113*T113</f>
        <v>0.32</v>
      </c>
      <c r="X113" s="86"/>
      <c r="Y113" s="86" t="str">
        <f t="shared" si="48"/>
        <v>EC50</v>
      </c>
      <c r="Z113" s="118">
        <f>VLOOKUP(Y113,'Conversion tables'!$C$5:$E$19,2,FALSE)</f>
        <v>5</v>
      </c>
      <c r="AA113" s="86">
        <f>W113/Z113</f>
        <v>6.4000000000000001E-2</v>
      </c>
      <c r="AB113" s="86" t="str">
        <f>R113</f>
        <v>Chronic</v>
      </c>
      <c r="AC113" s="86">
        <f>VLOOKUP(AB113,'Conversion tables'!$C$22:$E$23,2,FALSE)</f>
        <v>1</v>
      </c>
      <c r="AD113" s="86">
        <f t="shared" si="49"/>
        <v>6.4000000000000001E-2</v>
      </c>
      <c r="AE113" s="50"/>
      <c r="AF113" s="81" t="str">
        <f>E113</f>
        <v xml:space="preserve">Spirodela polyrrhiza (Lemna polyrhiza) </v>
      </c>
      <c r="AG113" s="81" t="str">
        <f>O113</f>
        <v>EC50</v>
      </c>
      <c r="AH113" s="81" t="str">
        <f>R113</f>
        <v>Chronic</v>
      </c>
      <c r="AI113" s="81">
        <f>VLOOKUP(SUM(Z113,AC113),'Conversion tables'!$J$5:$K$11,2,FALSE)</f>
        <v>2</v>
      </c>
      <c r="AJ113" s="81" t="str">
        <f>IF(AI113=MIN($AI$113),"YES!!!","Reject")</f>
        <v>YES!!!</v>
      </c>
      <c r="AK113" s="80" t="str">
        <f>N113</f>
        <v>Leaf Area</v>
      </c>
      <c r="AL113" s="81" t="s">
        <v>185</v>
      </c>
      <c r="AM113" s="81" t="str">
        <f>CONCATENATE(P113," ",Q113)</f>
        <v>14 Days</v>
      </c>
      <c r="AN113" s="81" t="s">
        <v>187</v>
      </c>
      <c r="AO113" s="2"/>
      <c r="AP113" s="81">
        <f>AD113</f>
        <v>6.4000000000000001E-2</v>
      </c>
      <c r="AQ113" s="80">
        <f>GEOMEAN(AP113:AP114)</f>
        <v>4.9315312023751813E-2</v>
      </c>
      <c r="AR113" s="118">
        <f>MIN(AQ113:AQ114)</f>
        <v>4.9315312023751813E-2</v>
      </c>
      <c r="AS113" s="118">
        <f>MIN(AR113)</f>
        <v>4.9315312023751813E-2</v>
      </c>
      <c r="AT113" s="147" t="s">
        <v>290</v>
      </c>
      <c r="AU113" s="6"/>
      <c r="AV113" s="6"/>
      <c r="AW113" s="76" t="str">
        <f>H113</f>
        <v>Macrophyte</v>
      </c>
      <c r="AX113" s="76" t="str">
        <f>E113</f>
        <v xml:space="preserve">Spirodela polyrrhiza (Lemna polyrhiza) </v>
      </c>
      <c r="AY113" s="76" t="str">
        <f>F113</f>
        <v>Tracheophyta</v>
      </c>
      <c r="AZ113" s="76" t="str">
        <f>G113</f>
        <v>Liliopsida</v>
      </c>
      <c r="BA113" s="76" t="str">
        <f>I113</f>
        <v>Phototroph</v>
      </c>
      <c r="BB113" s="76">
        <f>AI113</f>
        <v>2</v>
      </c>
      <c r="BC113" s="80">
        <f>AS113</f>
        <v>4.9315312023751813E-2</v>
      </c>
      <c r="BD113" s="147" t="s">
        <v>290</v>
      </c>
      <c r="BF113" s="77"/>
      <c r="BG113" s="77"/>
      <c r="BH113" s="77"/>
      <c r="BI113" s="77"/>
      <c r="BJ113" s="77"/>
      <c r="BK113" s="77"/>
      <c r="BL113" s="77"/>
      <c r="BM113" s="77"/>
      <c r="BO113" s="77"/>
      <c r="BP113" s="77"/>
      <c r="BQ113" s="77"/>
    </row>
    <row r="114" spans="1:69" s="89" customFormat="1" thickTop="1" thickBot="1" x14ac:dyDescent="0.25">
      <c r="A114" s="86" t="s">
        <v>201</v>
      </c>
      <c r="B114" s="86" t="s">
        <v>212</v>
      </c>
      <c r="C114" s="86"/>
      <c r="D114" s="86" t="s">
        <v>95</v>
      </c>
      <c r="E114" s="118" t="s">
        <v>234</v>
      </c>
      <c r="F114" s="86" t="s">
        <v>106</v>
      </c>
      <c r="G114" s="86" t="s">
        <v>107</v>
      </c>
      <c r="H114" s="86" t="s">
        <v>108</v>
      </c>
      <c r="I114" s="86" t="s">
        <v>18</v>
      </c>
      <c r="J114" s="86" t="s">
        <v>98</v>
      </c>
      <c r="K114" s="86"/>
      <c r="L114" s="86" t="s">
        <v>208</v>
      </c>
      <c r="M114" s="68" t="s">
        <v>62</v>
      </c>
      <c r="N114" s="68" t="s">
        <v>235</v>
      </c>
      <c r="O114" s="86" t="s">
        <v>15</v>
      </c>
      <c r="P114" s="86">
        <v>14</v>
      </c>
      <c r="Q114" s="86" t="s">
        <v>110</v>
      </c>
      <c r="R114" s="86" t="s">
        <v>16</v>
      </c>
      <c r="S114" s="86"/>
      <c r="T114" s="86">
        <v>0.19</v>
      </c>
      <c r="U114" s="86" t="s">
        <v>67</v>
      </c>
      <c r="V114" s="86">
        <f>VLOOKUP(U114,'Conversion tables'!$M$5:$O$8,3,FALSE)</f>
        <v>1</v>
      </c>
      <c r="W114" s="86">
        <f>V114*T114</f>
        <v>0.19</v>
      </c>
      <c r="X114" s="86"/>
      <c r="Y114" s="86" t="str">
        <f t="shared" si="48"/>
        <v>EC50</v>
      </c>
      <c r="Z114" s="118">
        <f>VLOOKUP(Y114,'Conversion tables'!$C$5:$E$19,2,FALSE)</f>
        <v>5</v>
      </c>
      <c r="AA114" s="86">
        <f>W114/Z114</f>
        <v>3.7999999999999999E-2</v>
      </c>
      <c r="AB114" s="86" t="str">
        <f>R114</f>
        <v>Chronic</v>
      </c>
      <c r="AC114" s="86">
        <f>VLOOKUP(AB114,'Conversion tables'!$C$22:$E$23,2,FALSE)</f>
        <v>1</v>
      </c>
      <c r="AD114" s="86">
        <f t="shared" si="49"/>
        <v>3.7999999999999999E-2</v>
      </c>
      <c r="AE114" s="50"/>
      <c r="AF114" s="81" t="str">
        <f>E114</f>
        <v xml:space="preserve">Spirodela polyrrhiza (Lemna polyrhiza) </v>
      </c>
      <c r="AG114" s="81" t="str">
        <f>O114</f>
        <v>EC50</v>
      </c>
      <c r="AH114" s="81" t="str">
        <f>R114</f>
        <v>Chronic</v>
      </c>
      <c r="AI114" s="81">
        <f>VLOOKUP(SUM(Z114,AC114),'Conversion tables'!$J$5:$K$11,2,FALSE)</f>
        <v>2</v>
      </c>
      <c r="AJ114" s="81" t="str">
        <f>IF(AI114=MIN($AI$113),"YES!!!","Reject")</f>
        <v>YES!!!</v>
      </c>
      <c r="AK114" s="80" t="str">
        <f>N114</f>
        <v>Leaf Area</v>
      </c>
      <c r="AL114" s="81" t="s">
        <v>185</v>
      </c>
      <c r="AM114" s="81" t="str">
        <f>CONCATENATE(P114," ",Q114)</f>
        <v>14 Days</v>
      </c>
      <c r="AN114" s="81" t="s">
        <v>187</v>
      </c>
      <c r="AO114" s="2"/>
      <c r="AP114" s="81">
        <f>AD114</f>
        <v>3.7999999999999999E-2</v>
      </c>
      <c r="AQ114" s="6"/>
      <c r="AR114" s="6"/>
      <c r="AS114" s="6"/>
      <c r="AT114" s="6"/>
      <c r="AU114" s="6"/>
      <c r="AV114" s="6"/>
      <c r="AW114" s="80"/>
      <c r="AX114" s="6"/>
      <c r="AY114" s="6"/>
      <c r="AZ114" s="6"/>
      <c r="BA114" s="6"/>
      <c r="BB114" s="6"/>
      <c r="BC114" s="6"/>
      <c r="BF114" s="77"/>
      <c r="BG114" s="77"/>
      <c r="BH114" s="77"/>
      <c r="BI114" s="77"/>
      <c r="BJ114" s="77"/>
      <c r="BK114" s="77"/>
      <c r="BL114" s="77"/>
      <c r="BM114" s="77"/>
      <c r="BN114" s="77"/>
      <c r="BO114" s="77"/>
      <c r="BP114" s="77"/>
      <c r="BQ114" s="77"/>
    </row>
    <row r="115" spans="1:69" s="77" customFormat="1" thickTop="1" thickBot="1" x14ac:dyDescent="0.25">
      <c r="A115" s="6"/>
      <c r="B115" s="6"/>
      <c r="C115" s="2"/>
      <c r="D115" s="6"/>
      <c r="F115" s="6"/>
      <c r="G115" s="6"/>
      <c r="H115" s="6"/>
      <c r="I115" s="6"/>
      <c r="J115" s="6"/>
      <c r="K115" s="2"/>
      <c r="L115" s="36"/>
      <c r="M115" s="6"/>
      <c r="N115" s="6"/>
      <c r="O115" s="6"/>
      <c r="P115" s="6"/>
      <c r="Q115" s="6"/>
      <c r="R115" s="6"/>
      <c r="S115" s="2"/>
      <c r="T115" s="2"/>
      <c r="U115" s="2"/>
      <c r="V115" s="2"/>
      <c r="W115" s="6"/>
      <c r="X115" s="6"/>
      <c r="Y115" s="6"/>
      <c r="Z115" s="6"/>
      <c r="AA115" s="6"/>
      <c r="AB115" s="6"/>
      <c r="AC115" s="6"/>
      <c r="AD115" s="6"/>
      <c r="AE115" s="50"/>
      <c r="AF115" s="8"/>
      <c r="AG115" s="6"/>
      <c r="AH115" s="6"/>
      <c r="AI115" s="6"/>
      <c r="AJ115" s="81"/>
      <c r="AK115" s="6"/>
      <c r="AL115" s="81"/>
      <c r="AM115" s="81"/>
      <c r="AN115" s="81"/>
      <c r="AO115" s="2"/>
      <c r="AP115" s="8"/>
      <c r="AQ115" s="6"/>
      <c r="AR115" s="6"/>
      <c r="AS115" s="6"/>
      <c r="AT115" s="6"/>
      <c r="AU115" s="6"/>
      <c r="AV115" s="6"/>
      <c r="AW115" s="80"/>
      <c r="AX115" s="6"/>
      <c r="AY115" s="6"/>
      <c r="AZ115" s="6"/>
      <c r="BA115" s="6"/>
      <c r="BB115" s="6"/>
      <c r="BC115" s="6"/>
      <c r="BD115" s="89"/>
      <c r="BE115" s="89"/>
    </row>
    <row r="116" spans="1:69" s="77" customFormat="1" thickTop="1" thickBot="1" x14ac:dyDescent="0.25">
      <c r="A116" s="6"/>
      <c r="B116" s="6"/>
      <c r="C116" s="2"/>
      <c r="D116" s="6"/>
      <c r="E116" s="6"/>
      <c r="F116" s="6"/>
      <c r="G116" s="6"/>
      <c r="H116" s="6"/>
      <c r="I116" s="6"/>
      <c r="J116" s="6"/>
      <c r="K116" s="2"/>
      <c r="L116" s="36"/>
      <c r="M116" s="6"/>
      <c r="N116" s="6"/>
      <c r="O116" s="6"/>
      <c r="P116" s="6"/>
      <c r="Q116" s="6"/>
      <c r="R116" s="6"/>
      <c r="S116" s="2"/>
      <c r="T116" s="2"/>
      <c r="U116" s="2"/>
      <c r="V116" s="2"/>
      <c r="W116" s="6"/>
      <c r="X116" s="6"/>
      <c r="Y116" s="6"/>
      <c r="Z116" s="6"/>
      <c r="AA116" s="6"/>
      <c r="AB116" s="6"/>
      <c r="AC116" s="6"/>
      <c r="AD116" s="6"/>
      <c r="AE116" s="50"/>
      <c r="AF116" s="8"/>
      <c r="AG116" s="6"/>
      <c r="AH116" s="6"/>
      <c r="AI116" s="6"/>
      <c r="AJ116" s="81"/>
      <c r="AK116" s="6"/>
      <c r="AL116" s="81"/>
      <c r="AM116" s="81"/>
      <c r="AN116" s="81"/>
      <c r="AO116" s="2"/>
      <c r="AP116" s="8"/>
      <c r="AQ116" s="6"/>
      <c r="AR116" s="6"/>
      <c r="AS116" s="6"/>
      <c r="AT116" s="6"/>
      <c r="AU116" s="6"/>
      <c r="AV116" s="6"/>
      <c r="AW116" s="80"/>
      <c r="AX116" s="6"/>
      <c r="AY116" s="6"/>
      <c r="AZ116" s="6"/>
      <c r="BA116" s="6"/>
      <c r="BB116" s="6"/>
      <c r="BC116" s="6"/>
      <c r="BD116" s="89"/>
      <c r="BE116" s="89"/>
    </row>
    <row r="117" spans="1:69" s="77" customFormat="1" thickTop="1" thickBot="1" x14ac:dyDescent="0.25">
      <c r="A117" s="6"/>
      <c r="B117" s="6"/>
      <c r="C117" s="2"/>
      <c r="D117" s="6"/>
      <c r="E117" s="6"/>
      <c r="F117" s="6"/>
      <c r="G117" s="6"/>
      <c r="H117" s="6"/>
      <c r="I117" s="6"/>
      <c r="J117" s="6"/>
      <c r="K117" s="2"/>
      <c r="L117" s="36"/>
      <c r="M117" s="6"/>
      <c r="N117" s="6"/>
      <c r="O117" s="6"/>
      <c r="P117" s="6"/>
      <c r="Q117" s="6"/>
      <c r="R117" s="6"/>
      <c r="S117" s="2"/>
      <c r="T117" s="2"/>
      <c r="U117" s="2"/>
      <c r="V117" s="2"/>
      <c r="W117" s="6"/>
      <c r="X117" s="6"/>
      <c r="Y117" s="6"/>
      <c r="Z117" s="6"/>
      <c r="AA117" s="6"/>
      <c r="AB117" s="6"/>
      <c r="AC117" s="6"/>
      <c r="AD117" s="6"/>
      <c r="AE117" s="50"/>
      <c r="AF117" s="8"/>
      <c r="AG117" s="6"/>
      <c r="AH117" s="6"/>
      <c r="AI117" s="6"/>
      <c r="AJ117" s="81"/>
      <c r="AK117" s="6"/>
      <c r="AL117" s="81"/>
      <c r="AM117" s="81"/>
      <c r="AN117" s="81"/>
      <c r="AO117" s="2"/>
      <c r="AP117" s="8"/>
      <c r="AQ117" s="6"/>
      <c r="AR117" s="6"/>
      <c r="AS117" s="6"/>
      <c r="AT117" s="6"/>
      <c r="AU117" s="6"/>
      <c r="AV117" s="6"/>
      <c r="AW117" s="80"/>
      <c r="AX117" s="6"/>
      <c r="AY117" s="6"/>
      <c r="AZ117" s="6"/>
      <c r="BA117" s="6"/>
      <c r="BB117" s="6"/>
      <c r="BC117" s="6"/>
      <c r="BD117" s="89"/>
      <c r="BE117" s="89"/>
    </row>
    <row r="118" spans="1:69" s="77" customFormat="1" thickTop="1" thickBot="1" x14ac:dyDescent="0.25">
      <c r="A118" s="6"/>
      <c r="B118" s="6"/>
      <c r="C118" s="2"/>
      <c r="D118" s="6"/>
      <c r="E118" s="6"/>
      <c r="F118" s="6"/>
      <c r="G118" s="6"/>
      <c r="H118" s="6"/>
      <c r="I118" s="6"/>
      <c r="J118" s="6"/>
      <c r="K118" s="2"/>
      <c r="L118" s="36"/>
      <c r="M118" s="6"/>
      <c r="N118" s="6"/>
      <c r="O118" s="6"/>
      <c r="P118" s="6"/>
      <c r="Q118" s="6"/>
      <c r="R118" s="6"/>
      <c r="S118" s="2"/>
      <c r="T118" s="2"/>
      <c r="U118" s="2"/>
      <c r="V118" s="2"/>
      <c r="W118" s="6"/>
      <c r="X118" s="6"/>
      <c r="Y118" s="6"/>
      <c r="Z118" s="6"/>
      <c r="AA118" s="6"/>
      <c r="AB118" s="6"/>
      <c r="AC118" s="6"/>
      <c r="AD118" s="6"/>
      <c r="AE118" s="50"/>
      <c r="AF118" s="8"/>
      <c r="AG118" s="6"/>
      <c r="AH118" s="6"/>
      <c r="AI118" s="6"/>
      <c r="AJ118" s="81"/>
      <c r="AK118" s="6"/>
      <c r="AL118" s="81"/>
      <c r="AM118" s="81"/>
      <c r="AN118" s="81"/>
      <c r="AO118" s="2"/>
      <c r="AP118" s="8"/>
      <c r="AQ118" s="6"/>
      <c r="AR118" s="6"/>
      <c r="AS118" s="6"/>
      <c r="AT118" s="6"/>
      <c r="AU118" s="6"/>
      <c r="AV118" s="6"/>
      <c r="AW118" s="80"/>
      <c r="AX118" s="6"/>
      <c r="AY118" s="6"/>
      <c r="AZ118" s="6"/>
      <c r="BA118" s="6"/>
      <c r="BB118" s="6"/>
      <c r="BC118" s="6"/>
      <c r="BD118" s="89"/>
      <c r="BE118" s="89"/>
    </row>
    <row r="119" spans="1:69" s="77" customFormat="1" thickTop="1" thickBot="1" x14ac:dyDescent="0.25">
      <c r="A119" s="6"/>
      <c r="B119" s="6"/>
      <c r="C119" s="2"/>
      <c r="D119" s="6"/>
      <c r="E119" s="6"/>
      <c r="F119" s="6"/>
      <c r="G119" s="6"/>
      <c r="H119" s="6"/>
      <c r="I119" s="6"/>
      <c r="J119" s="6"/>
      <c r="K119" s="2"/>
      <c r="L119" s="36"/>
      <c r="M119" s="6"/>
      <c r="N119" s="6"/>
      <c r="O119" s="6"/>
      <c r="P119" s="6"/>
      <c r="Q119" s="6"/>
      <c r="R119" s="6"/>
      <c r="S119" s="2"/>
      <c r="T119" s="2"/>
      <c r="U119" s="2"/>
      <c r="V119" s="2"/>
      <c r="W119" s="6"/>
      <c r="X119" s="6"/>
      <c r="Y119" s="6"/>
      <c r="Z119" s="6"/>
      <c r="AA119" s="6"/>
      <c r="AB119" s="6"/>
      <c r="AC119" s="6"/>
      <c r="AD119" s="6"/>
      <c r="AE119" s="50"/>
      <c r="AF119" s="8"/>
      <c r="AG119" s="6"/>
      <c r="AH119" s="6"/>
      <c r="AI119" s="6"/>
      <c r="AJ119" s="81"/>
      <c r="AK119" s="6"/>
      <c r="AL119" s="81"/>
      <c r="AM119" s="81"/>
      <c r="AN119" s="81"/>
      <c r="AO119" s="2"/>
      <c r="AP119" s="8"/>
      <c r="AQ119" s="6"/>
      <c r="AR119" s="6"/>
      <c r="AS119" s="6"/>
      <c r="AT119" s="6"/>
      <c r="AU119" s="6"/>
      <c r="AV119" s="6"/>
      <c r="AW119" s="80"/>
      <c r="AX119" s="6"/>
      <c r="AY119" s="6"/>
      <c r="AZ119" s="6"/>
      <c r="BA119" s="6"/>
      <c r="BB119" s="6"/>
      <c r="BC119" s="6"/>
      <c r="BD119" s="89"/>
      <c r="BE119" s="89"/>
    </row>
    <row r="120" spans="1:69" thickTop="1" thickBot="1" x14ac:dyDescent="0.25">
      <c r="L120" s="36"/>
      <c r="BO120" s="76"/>
      <c r="BP120" s="76"/>
      <c r="BQ120" s="76"/>
    </row>
    <row r="121" spans="1:69" thickTop="1" thickBot="1" x14ac:dyDescent="0.25">
      <c r="L121" s="36"/>
    </row>
    <row r="122" spans="1:69" thickTop="1" thickBot="1" x14ac:dyDescent="0.25">
      <c r="L122" s="36"/>
    </row>
    <row r="123" spans="1:69" thickTop="1" thickBot="1" x14ac:dyDescent="0.25">
      <c r="L123" s="36"/>
    </row>
    <row r="124" spans="1:69" thickTop="1" thickBot="1" x14ac:dyDescent="0.25">
      <c r="L124" s="36"/>
    </row>
    <row r="125" spans="1:69" thickTop="1" thickBot="1" x14ac:dyDescent="0.25">
      <c r="L125" s="38"/>
    </row>
    <row r="126" spans="1:69" thickTop="1" thickBot="1" x14ac:dyDescent="0.25">
      <c r="L126" s="36"/>
    </row>
    <row r="127" spans="1:69" thickTop="1" thickBot="1" x14ac:dyDescent="0.25">
      <c r="L127" s="36"/>
      <c r="Y127" s="152"/>
    </row>
    <row r="128" spans="1:69" thickTop="1" thickBot="1" x14ac:dyDescent="0.25">
      <c r="L128" s="36"/>
    </row>
    <row r="129" spans="12:12" thickTop="1" thickBot="1" x14ac:dyDescent="0.25">
      <c r="L129" s="36"/>
    </row>
    <row r="130" spans="12:12" thickTop="1" thickBot="1" x14ac:dyDescent="0.25">
      <c r="L130" s="36"/>
    </row>
    <row r="131" spans="12:12" thickTop="1" thickBot="1" x14ac:dyDescent="0.25">
      <c r="L131" s="36"/>
    </row>
    <row r="132" spans="12:12" thickTop="1" thickBot="1" x14ac:dyDescent="0.25">
      <c r="L132" s="36"/>
    </row>
    <row r="133" spans="12:12" thickTop="1" thickBot="1" x14ac:dyDescent="0.25">
      <c r="L133" s="36"/>
    </row>
    <row r="134" spans="12:12" thickTop="1" thickBot="1" x14ac:dyDescent="0.25">
      <c r="L134" s="36"/>
    </row>
    <row r="135" spans="12:12" thickTop="1" thickBot="1" x14ac:dyDescent="0.25">
      <c r="L135" s="36"/>
    </row>
    <row r="136" spans="12:12" thickTop="1" thickBot="1" x14ac:dyDescent="0.25">
      <c r="L136" s="36"/>
    </row>
    <row r="137" spans="12:12" thickTop="1" thickBot="1" x14ac:dyDescent="0.25">
      <c r="L137" s="36"/>
    </row>
    <row r="138" spans="12:12" thickTop="1" thickBot="1" x14ac:dyDescent="0.25">
      <c r="L138" s="36"/>
    </row>
    <row r="139" spans="12:12" thickTop="1" thickBot="1" x14ac:dyDescent="0.25">
      <c r="L139" s="36"/>
    </row>
    <row r="140" spans="12:12" thickTop="1" thickBot="1" x14ac:dyDescent="0.25">
      <c r="L140" s="36"/>
    </row>
    <row r="141" spans="12:12" thickTop="1" thickBot="1" x14ac:dyDescent="0.25">
      <c r="L141" s="36"/>
    </row>
    <row r="142" spans="12:12" thickTop="1" thickBot="1" x14ac:dyDescent="0.25">
      <c r="L142" s="36"/>
    </row>
    <row r="143" spans="12:12" thickTop="1" thickBot="1" x14ac:dyDescent="0.25">
      <c r="L143" s="36"/>
    </row>
    <row r="144" spans="12:12" thickTop="1" thickBot="1" x14ac:dyDescent="0.25">
      <c r="L144" s="36"/>
    </row>
    <row r="145" spans="12:12" thickTop="1" thickBot="1" x14ac:dyDescent="0.25">
      <c r="L145" s="36"/>
    </row>
    <row r="146" spans="12:12" thickTop="1" thickBot="1" x14ac:dyDescent="0.25">
      <c r="L146" s="36"/>
    </row>
    <row r="147" spans="12:12" thickTop="1" thickBot="1" x14ac:dyDescent="0.25">
      <c r="L147" s="36"/>
    </row>
    <row r="148" spans="12:12" thickTop="1" thickBot="1" x14ac:dyDescent="0.25">
      <c r="L148" s="36"/>
    </row>
    <row r="149" spans="12:12" thickTop="1" thickBot="1" x14ac:dyDescent="0.25">
      <c r="L149" s="36"/>
    </row>
    <row r="150" spans="12:12" thickTop="1" thickBot="1" x14ac:dyDescent="0.25">
      <c r="L150" s="36"/>
    </row>
    <row r="151" spans="12:12" thickTop="1" thickBot="1" x14ac:dyDescent="0.25">
      <c r="L151" s="36"/>
    </row>
    <row r="152" spans="12:12" thickTop="1" thickBot="1" x14ac:dyDescent="0.25">
      <c r="L152" s="36"/>
    </row>
    <row r="153" spans="12:12" thickTop="1" thickBot="1" x14ac:dyDescent="0.25">
      <c r="L153" s="36"/>
    </row>
    <row r="154" spans="12:12" thickTop="1" thickBot="1" x14ac:dyDescent="0.25">
      <c r="L154" s="36"/>
    </row>
    <row r="155" spans="12:12" thickTop="1" thickBot="1" x14ac:dyDescent="0.25">
      <c r="L155" s="36"/>
    </row>
    <row r="156" spans="12:12" thickTop="1" thickBot="1" x14ac:dyDescent="0.25">
      <c r="L156" s="38"/>
    </row>
    <row r="157" spans="12:12" thickTop="1" thickBot="1" x14ac:dyDescent="0.25">
      <c r="L157" s="36"/>
    </row>
    <row r="158" spans="12:12" thickTop="1" thickBot="1" x14ac:dyDescent="0.25">
      <c r="L158" s="36"/>
    </row>
    <row r="159" spans="12:12" thickTop="1" thickBot="1" x14ac:dyDescent="0.25">
      <c r="L159" s="36"/>
    </row>
    <row r="160" spans="12:12" thickTop="1" thickBot="1" x14ac:dyDescent="0.25">
      <c r="L160" s="37"/>
    </row>
    <row r="161" spans="12:12" thickTop="1" thickBot="1" x14ac:dyDescent="0.25">
      <c r="L161" s="37"/>
    </row>
    <row r="162" spans="12:12" thickTop="1" thickBot="1" x14ac:dyDescent="0.25">
      <c r="L162" s="37"/>
    </row>
    <row r="163" spans="12:12" thickTop="1" thickBot="1" x14ac:dyDescent="0.25">
      <c r="L163" s="37"/>
    </row>
    <row r="164" spans="12:12" thickTop="1" thickBot="1" x14ac:dyDescent="0.25">
      <c r="L164" s="37"/>
    </row>
    <row r="165" spans="12:12" thickTop="1" thickBot="1" x14ac:dyDescent="0.25">
      <c r="L165" s="37"/>
    </row>
    <row r="166" spans="12:12" thickTop="1" thickBot="1" x14ac:dyDescent="0.25">
      <c r="L166" s="39"/>
    </row>
    <row r="167" spans="12:12" thickTop="1" thickBot="1" x14ac:dyDescent="0.25">
      <c r="L167" s="39"/>
    </row>
    <row r="168" spans="12:12" thickTop="1" thickBot="1" x14ac:dyDescent="0.25">
      <c r="L168" s="39"/>
    </row>
    <row r="169" spans="12:12" thickTop="1" thickBot="1" x14ac:dyDescent="0.25">
      <c r="L169" s="40"/>
    </row>
    <row r="170" spans="12:12" thickTop="1" thickBot="1" x14ac:dyDescent="0.25">
      <c r="L170" s="38"/>
    </row>
    <row r="171" spans="12:12" thickTop="1" thickBot="1" x14ac:dyDescent="0.25">
      <c r="L171" s="37"/>
    </row>
    <row r="172" spans="12:12" thickTop="1" thickBot="1" x14ac:dyDescent="0.25">
      <c r="L172" s="37"/>
    </row>
    <row r="173" spans="12:12" thickTop="1" thickBot="1" x14ac:dyDescent="0.25">
      <c r="L173" s="37"/>
    </row>
    <row r="174" spans="12:12" thickTop="1" thickBot="1" x14ac:dyDescent="0.25">
      <c r="L174" s="36"/>
    </row>
    <row r="175" spans="12:12" thickTop="1" thickBot="1" x14ac:dyDescent="0.25">
      <c r="L175" s="36"/>
    </row>
    <row r="176" spans="12:12" thickTop="1" thickBot="1" x14ac:dyDescent="0.25">
      <c r="L176" s="36"/>
    </row>
    <row r="177" spans="12:12" thickTop="1" thickBot="1" x14ac:dyDescent="0.25">
      <c r="L177" s="36"/>
    </row>
    <row r="178" spans="12:12" thickTop="1" thickBot="1" x14ac:dyDescent="0.25">
      <c r="L178" s="36"/>
    </row>
    <row r="179" spans="12:12" thickTop="1" thickBot="1" x14ac:dyDescent="0.25">
      <c r="L179" s="36"/>
    </row>
    <row r="180" spans="12:12" thickTop="1" thickBot="1" x14ac:dyDescent="0.25">
      <c r="L180" s="36"/>
    </row>
    <row r="181" spans="12:12" thickTop="1" thickBot="1" x14ac:dyDescent="0.25">
      <c r="L181" s="36"/>
    </row>
    <row r="182" spans="12:12" thickTop="1" thickBot="1" x14ac:dyDescent="0.25">
      <c r="L182" s="36"/>
    </row>
    <row r="183" spans="12:12" thickTop="1" thickBot="1" x14ac:dyDescent="0.25">
      <c r="L183" s="36"/>
    </row>
    <row r="184" spans="12:12" thickTop="1" thickBot="1" x14ac:dyDescent="0.25">
      <c r="L184" s="36"/>
    </row>
    <row r="185" spans="12:12" thickTop="1" thickBot="1" x14ac:dyDescent="0.25">
      <c r="L185" s="36"/>
    </row>
    <row r="186" spans="12:12" thickTop="1" thickBot="1" x14ac:dyDescent="0.25">
      <c r="L186" s="36"/>
    </row>
    <row r="187" spans="12:12" thickTop="1" thickBot="1" x14ac:dyDescent="0.25">
      <c r="L187" s="36"/>
    </row>
    <row r="188" spans="12:12" thickTop="1" thickBot="1" x14ac:dyDescent="0.25">
      <c r="L188" s="36"/>
    </row>
    <row r="189" spans="12:12" thickTop="1" thickBot="1" x14ac:dyDescent="0.25">
      <c r="L189" s="36"/>
    </row>
    <row r="190" spans="12:12" thickTop="1" thickBot="1" x14ac:dyDescent="0.25">
      <c r="L190" s="36"/>
    </row>
    <row r="191" spans="12:12" thickTop="1" thickBot="1" x14ac:dyDescent="0.25">
      <c r="L191" s="36"/>
    </row>
    <row r="192" spans="12:12" thickTop="1" thickBot="1" x14ac:dyDescent="0.25">
      <c r="L192" s="36"/>
    </row>
    <row r="193" spans="12:12" thickTop="1" thickBot="1" x14ac:dyDescent="0.25">
      <c r="L193" s="36"/>
    </row>
    <row r="194" spans="12:12" thickTop="1" thickBot="1" x14ac:dyDescent="0.25">
      <c r="L194" s="36"/>
    </row>
    <row r="195" spans="12:12" thickTop="1" thickBot="1" x14ac:dyDescent="0.25">
      <c r="L195" s="36"/>
    </row>
    <row r="196" spans="12:12" thickTop="1" thickBot="1" x14ac:dyDescent="0.25">
      <c r="L196" s="36"/>
    </row>
    <row r="197" spans="12:12" thickTop="1" thickBot="1" x14ac:dyDescent="0.25">
      <c r="L197" s="36"/>
    </row>
    <row r="198" spans="12:12" thickTop="1" thickBot="1" x14ac:dyDescent="0.25">
      <c r="L198" s="36"/>
    </row>
    <row r="199" spans="12:12" thickTop="1" thickBot="1" x14ac:dyDescent="0.25">
      <c r="L199" s="38"/>
    </row>
    <row r="200" spans="12:12" thickTop="1" thickBot="1" x14ac:dyDescent="0.25">
      <c r="L200" s="36"/>
    </row>
    <row r="201" spans="12:12" thickTop="1" thickBot="1" x14ac:dyDescent="0.25">
      <c r="L201" s="36"/>
    </row>
    <row r="202" spans="12:12" thickTop="1" thickBot="1" x14ac:dyDescent="0.25">
      <c r="L202" s="36"/>
    </row>
    <row r="203" spans="12:12" thickTop="1" thickBot="1" x14ac:dyDescent="0.25">
      <c r="L203" s="36"/>
    </row>
    <row r="204" spans="12:12" thickTop="1" thickBot="1" x14ac:dyDescent="0.25">
      <c r="L204" s="36"/>
    </row>
    <row r="205" spans="12:12" thickTop="1" thickBot="1" x14ac:dyDescent="0.25">
      <c r="L205" s="36"/>
    </row>
    <row r="206" spans="12:12" thickTop="1" thickBot="1" x14ac:dyDescent="0.25">
      <c r="L206" s="36"/>
    </row>
    <row r="207" spans="12:12" thickTop="1" thickBot="1" x14ac:dyDescent="0.25">
      <c r="L207" s="36"/>
    </row>
    <row r="208" spans="12:12" thickTop="1" thickBot="1" x14ac:dyDescent="0.25">
      <c r="L208" s="36"/>
    </row>
    <row r="209" spans="12:12" thickTop="1" thickBot="1" x14ac:dyDescent="0.25">
      <c r="L209" s="38"/>
    </row>
    <row r="210" spans="12:12" thickTop="1" thickBot="1" x14ac:dyDescent="0.25">
      <c r="L210" s="36"/>
    </row>
    <row r="211" spans="12:12" thickTop="1" thickBot="1" x14ac:dyDescent="0.25">
      <c r="L211" s="36"/>
    </row>
    <row r="212" spans="12:12" thickTop="1" thickBot="1" x14ac:dyDescent="0.25">
      <c r="L212" s="36"/>
    </row>
    <row r="213" spans="12:12" thickTop="1" thickBot="1" x14ac:dyDescent="0.25">
      <c r="L213" s="36"/>
    </row>
    <row r="214" spans="12:12" thickTop="1" thickBot="1" x14ac:dyDescent="0.25">
      <c r="L214" s="36"/>
    </row>
    <row r="215" spans="12:12" thickTop="1" thickBot="1" x14ac:dyDescent="0.25">
      <c r="L215" s="38"/>
    </row>
    <row r="216" spans="12:12" thickTop="1" thickBot="1" x14ac:dyDescent="0.25">
      <c r="L216" s="36"/>
    </row>
    <row r="217" spans="12:12" thickTop="1" thickBot="1" x14ac:dyDescent="0.25">
      <c r="L217" s="36"/>
    </row>
    <row r="218" spans="12:12" thickTop="1" thickBot="1" x14ac:dyDescent="0.25">
      <c r="L218" s="36"/>
    </row>
    <row r="219" spans="12:12" thickTop="1" thickBot="1" x14ac:dyDescent="0.25">
      <c r="L219" s="36"/>
    </row>
    <row r="220" spans="12:12" thickTop="1" thickBot="1" x14ac:dyDescent="0.25">
      <c r="L220" s="38"/>
    </row>
    <row r="221" spans="12:12" thickTop="1" thickBot="1" x14ac:dyDescent="0.25">
      <c r="L221" s="36"/>
    </row>
    <row r="222" spans="12:12" thickTop="1" thickBot="1" x14ac:dyDescent="0.25">
      <c r="L222" s="36"/>
    </row>
    <row r="223" spans="12:12" thickTop="1" thickBot="1" x14ac:dyDescent="0.25">
      <c r="L223" s="36"/>
    </row>
    <row r="224" spans="12:12" thickTop="1" thickBot="1" x14ac:dyDescent="0.25">
      <c r="L224" s="36"/>
    </row>
    <row r="225" spans="12:12" thickTop="1" thickBot="1" x14ac:dyDescent="0.25">
      <c r="L225" s="36"/>
    </row>
    <row r="226" spans="12:12" thickTop="1" thickBot="1" x14ac:dyDescent="0.25">
      <c r="L226" s="36"/>
    </row>
    <row r="227" spans="12:12" thickTop="1" thickBot="1" x14ac:dyDescent="0.25">
      <c r="L227" s="36"/>
    </row>
    <row r="228" spans="12:12" thickTop="1" thickBot="1" x14ac:dyDescent="0.25">
      <c r="L228" s="36"/>
    </row>
    <row r="229" spans="12:12" thickTop="1" thickBot="1" x14ac:dyDescent="0.25">
      <c r="L229" s="36"/>
    </row>
    <row r="230" spans="12:12" thickTop="1" thickBot="1" x14ac:dyDescent="0.25">
      <c r="L230" s="36"/>
    </row>
    <row r="231" spans="12:12" thickTop="1" thickBot="1" x14ac:dyDescent="0.25">
      <c r="L231" s="36"/>
    </row>
    <row r="232" spans="12:12" thickTop="1" thickBot="1" x14ac:dyDescent="0.25">
      <c r="L232" s="36"/>
    </row>
    <row r="233" spans="12:12" thickTop="1" thickBot="1" x14ac:dyDescent="0.25">
      <c r="L233" s="36"/>
    </row>
    <row r="234" spans="12:12" thickTop="1" thickBot="1" x14ac:dyDescent="0.25">
      <c r="L234" s="36"/>
    </row>
    <row r="235" spans="12:12" thickTop="1" thickBot="1" x14ac:dyDescent="0.25">
      <c r="L235" s="36"/>
    </row>
    <row r="236" spans="12:12" thickTop="1" thickBot="1" x14ac:dyDescent="0.25">
      <c r="L236" s="36"/>
    </row>
    <row r="237" spans="12:12" thickTop="1" thickBot="1" x14ac:dyDescent="0.25">
      <c r="L237" s="36"/>
    </row>
    <row r="238" spans="12:12" thickTop="1" thickBot="1" x14ac:dyDescent="0.25">
      <c r="L238" s="36"/>
    </row>
    <row r="239" spans="12:12" thickTop="1" thickBot="1" x14ac:dyDescent="0.25">
      <c r="L239" s="36"/>
    </row>
    <row r="240" spans="12:12" thickTop="1" thickBot="1" x14ac:dyDescent="0.25">
      <c r="L240" s="36"/>
    </row>
    <row r="241" spans="12:12" thickTop="1" thickBot="1" x14ac:dyDescent="0.25">
      <c r="L241" s="36"/>
    </row>
    <row r="242" spans="12:12" thickTop="1" thickBot="1" x14ac:dyDescent="0.25">
      <c r="L242" s="36"/>
    </row>
    <row r="243" spans="12:12" thickTop="1" thickBot="1" x14ac:dyDescent="0.25">
      <c r="L243" s="36"/>
    </row>
    <row r="244" spans="12:12" thickTop="1" thickBot="1" x14ac:dyDescent="0.25">
      <c r="L244" s="38"/>
    </row>
    <row r="245" spans="12:12" thickTop="1" thickBot="1" x14ac:dyDescent="0.25">
      <c r="L245" s="37"/>
    </row>
    <row r="246" spans="12:12" thickTop="1" thickBot="1" x14ac:dyDescent="0.25">
      <c r="L246" s="37"/>
    </row>
    <row r="247" spans="12:12" thickTop="1" thickBot="1" x14ac:dyDescent="0.25">
      <c r="L247" s="37"/>
    </row>
    <row r="248" spans="12:12" thickTop="1" thickBot="1" x14ac:dyDescent="0.25">
      <c r="L248" s="37"/>
    </row>
    <row r="249" spans="12:12" thickTop="1" thickBot="1" x14ac:dyDescent="0.25">
      <c r="L249" s="36"/>
    </row>
    <row r="250" spans="12:12" thickTop="1" thickBot="1" x14ac:dyDescent="0.25">
      <c r="L250" s="36"/>
    </row>
    <row r="251" spans="12:12" thickTop="1" thickBot="1" x14ac:dyDescent="0.25">
      <c r="L251" s="36"/>
    </row>
    <row r="252" spans="12:12" thickTop="1" thickBot="1" x14ac:dyDescent="0.25">
      <c r="L252" s="36"/>
    </row>
    <row r="253" spans="12:12" thickTop="1" thickBot="1" x14ac:dyDescent="0.25">
      <c r="L253" s="36"/>
    </row>
    <row r="254" spans="12:12" thickTop="1" thickBot="1" x14ac:dyDescent="0.25">
      <c r="L254" s="38"/>
    </row>
    <row r="255" spans="12:12" thickTop="1" thickBot="1" x14ac:dyDescent="0.25">
      <c r="L255" s="36"/>
    </row>
    <row r="256" spans="12:12" thickTop="1" thickBot="1" x14ac:dyDescent="0.25">
      <c r="L256" s="36"/>
    </row>
    <row r="257" spans="12:12" thickTop="1" thickBot="1" x14ac:dyDescent="0.25">
      <c r="L257" s="36"/>
    </row>
    <row r="258" spans="12:12" thickTop="1" thickBot="1" x14ac:dyDescent="0.25">
      <c r="L258" s="37"/>
    </row>
    <row r="259" spans="12:12" thickTop="1" thickBot="1" x14ac:dyDescent="0.25">
      <c r="L259" s="37"/>
    </row>
    <row r="260" spans="12:12" thickTop="1" thickBot="1" x14ac:dyDescent="0.25">
      <c r="L260" s="37"/>
    </row>
    <row r="261" spans="12:12" thickTop="1" thickBot="1" x14ac:dyDescent="0.25">
      <c r="L261" s="38"/>
    </row>
    <row r="262" spans="12:12" thickTop="1" thickBot="1" x14ac:dyDescent="0.25">
      <c r="L262" s="36"/>
    </row>
    <row r="263" spans="12:12" thickTop="1" thickBot="1" x14ac:dyDescent="0.25">
      <c r="L263" s="36"/>
    </row>
    <row r="264" spans="12:12" thickTop="1" thickBot="1" x14ac:dyDescent="0.25">
      <c r="L264" s="36"/>
    </row>
    <row r="265" spans="12:12" thickTop="1" thickBot="1" x14ac:dyDescent="0.25">
      <c r="L265" s="36"/>
    </row>
    <row r="266" spans="12:12" thickTop="1" thickBot="1" x14ac:dyDescent="0.25">
      <c r="L266" s="39"/>
    </row>
    <row r="267" spans="12:12" thickTop="1" thickBot="1" x14ac:dyDescent="0.25">
      <c r="L267" s="39"/>
    </row>
    <row r="268" spans="12:12" thickTop="1" thickBot="1" x14ac:dyDescent="0.25">
      <c r="L268" s="39"/>
    </row>
    <row r="269" spans="12:12" thickTop="1" thickBot="1" x14ac:dyDescent="0.25">
      <c r="L269" s="37"/>
    </row>
    <row r="270" spans="12:12" thickTop="1" thickBot="1" x14ac:dyDescent="0.25">
      <c r="L270" s="37"/>
    </row>
    <row r="271" spans="12:12" thickTop="1" thickBot="1" x14ac:dyDescent="0.25">
      <c r="L271" s="37"/>
    </row>
    <row r="272" spans="12:12" thickTop="1" thickBot="1" x14ac:dyDescent="0.25">
      <c r="L272" s="39"/>
    </row>
    <row r="273" spans="12:12" thickTop="1" thickBot="1" x14ac:dyDescent="0.25">
      <c r="L273" s="39"/>
    </row>
    <row r="274" spans="12:12" thickTop="1" thickBot="1" x14ac:dyDescent="0.25">
      <c r="L274" s="39"/>
    </row>
    <row r="275" spans="12:12" thickTop="1" thickBot="1" x14ac:dyDescent="0.25">
      <c r="L275" s="37"/>
    </row>
    <row r="276" spans="12:12" thickTop="1" thickBot="1" x14ac:dyDescent="0.25">
      <c r="L276" s="36"/>
    </row>
    <row r="277" spans="12:12" thickTop="1" thickBot="1" x14ac:dyDescent="0.25">
      <c r="L277" s="36"/>
    </row>
    <row r="278" spans="12:12" thickTop="1" thickBot="1" x14ac:dyDescent="0.25">
      <c r="L278" s="36"/>
    </row>
    <row r="279" spans="12:12" thickTop="1" thickBot="1" x14ac:dyDescent="0.25">
      <c r="L279" s="36"/>
    </row>
    <row r="280" spans="12:12" thickTop="1" thickBot="1" x14ac:dyDescent="0.25">
      <c r="L280" s="37"/>
    </row>
    <row r="281" spans="12:12" thickTop="1" thickBot="1" x14ac:dyDescent="0.25">
      <c r="L281" s="37"/>
    </row>
    <row r="282" spans="12:12" thickTop="1" thickBot="1" x14ac:dyDescent="0.25">
      <c r="L282" s="37"/>
    </row>
    <row r="283" spans="12:12" thickTop="1" thickBot="1" x14ac:dyDescent="0.25">
      <c r="L283" s="37"/>
    </row>
    <row r="284" spans="12:12" thickTop="1" thickBot="1" x14ac:dyDescent="0.25">
      <c r="L284" s="36"/>
    </row>
    <row r="285" spans="12:12" thickTop="1" thickBot="1" x14ac:dyDescent="0.25">
      <c r="L285" s="36"/>
    </row>
    <row r="286" spans="12:12" thickTop="1" thickBot="1" x14ac:dyDescent="0.25">
      <c r="L286" s="36"/>
    </row>
    <row r="287" spans="12:12" thickTop="1" thickBot="1" x14ac:dyDescent="0.25">
      <c r="L287" s="36"/>
    </row>
    <row r="288" spans="12:12" thickTop="1" thickBot="1" x14ac:dyDescent="0.25">
      <c r="L288" s="36"/>
    </row>
    <row r="289" spans="12:12" thickTop="1" thickBot="1" x14ac:dyDescent="0.25">
      <c r="L289" s="36"/>
    </row>
    <row r="290" spans="12:12" thickTop="1" thickBot="1" x14ac:dyDescent="0.25">
      <c r="L290" s="38"/>
    </row>
    <row r="291" spans="12:12" thickTop="1" thickBot="1" x14ac:dyDescent="0.25">
      <c r="L291" s="37"/>
    </row>
    <row r="292" spans="12:12" thickTop="1" thickBot="1" x14ac:dyDescent="0.25">
      <c r="L292" s="37"/>
    </row>
    <row r="293" spans="12:12" thickTop="1" thickBot="1" x14ac:dyDescent="0.25">
      <c r="L293" s="37"/>
    </row>
    <row r="294" spans="12:12" thickTop="1" thickBot="1" x14ac:dyDescent="0.25">
      <c r="L294" s="38"/>
    </row>
    <row r="295" spans="12:12" thickTop="1" thickBot="1" x14ac:dyDescent="0.25">
      <c r="L295" s="37"/>
    </row>
    <row r="296" spans="12:12" thickTop="1" thickBot="1" x14ac:dyDescent="0.25">
      <c r="L296" s="37"/>
    </row>
    <row r="297" spans="12:12" thickTop="1" thickBot="1" x14ac:dyDescent="0.25">
      <c r="L297" s="37"/>
    </row>
    <row r="298" spans="12:12" thickTop="1" thickBot="1" x14ac:dyDescent="0.25">
      <c r="L298" s="37"/>
    </row>
    <row r="299" spans="12:12" thickTop="1" thickBot="1" x14ac:dyDescent="0.25">
      <c r="L299" s="37"/>
    </row>
    <row r="300" spans="12:12" thickTop="1" thickBot="1" x14ac:dyDescent="0.25">
      <c r="L300" s="37"/>
    </row>
    <row r="301" spans="12:12" thickTop="1" thickBot="1" x14ac:dyDescent="0.25">
      <c r="L301" s="37"/>
    </row>
    <row r="302" spans="12:12" thickTop="1" thickBot="1" x14ac:dyDescent="0.25">
      <c r="L302" s="37"/>
    </row>
    <row r="303" spans="12:12" thickTop="1" thickBot="1" x14ac:dyDescent="0.25">
      <c r="L303" s="37"/>
    </row>
    <row r="304" spans="12:12" thickTop="1" thickBot="1" x14ac:dyDescent="0.25">
      <c r="L304" s="37"/>
    </row>
    <row r="305" spans="12:12" thickTop="1" thickBot="1" x14ac:dyDescent="0.25">
      <c r="L305" s="37"/>
    </row>
    <row r="306" spans="12:12" thickTop="1" thickBot="1" x14ac:dyDescent="0.25">
      <c r="L306" s="37"/>
    </row>
    <row r="307" spans="12:12" thickTop="1" thickBot="1" x14ac:dyDescent="0.25">
      <c r="L307" s="38"/>
    </row>
    <row r="308" spans="12:12" thickTop="1" thickBot="1" x14ac:dyDescent="0.25">
      <c r="L308" s="36"/>
    </row>
    <row r="309" spans="12:12" thickTop="1" thickBot="1" x14ac:dyDescent="0.25">
      <c r="L309" s="36"/>
    </row>
    <row r="310" spans="12:12" thickTop="1" thickBot="1" x14ac:dyDescent="0.25">
      <c r="L310" s="36"/>
    </row>
    <row r="311" spans="12:12" thickTop="1" thickBot="1" x14ac:dyDescent="0.25">
      <c r="L311" s="36"/>
    </row>
    <row r="312" spans="12:12" thickTop="1" thickBot="1" x14ac:dyDescent="0.25">
      <c r="L312" s="41"/>
    </row>
    <row r="313" spans="12:12" thickTop="1" thickBot="1" x14ac:dyDescent="0.25">
      <c r="L313" s="41"/>
    </row>
    <row r="314" spans="12:12" thickTop="1" thickBot="1" x14ac:dyDescent="0.25">
      <c r="L314" s="42"/>
    </row>
    <row r="315" spans="12:12" thickTop="1" thickBot="1" x14ac:dyDescent="0.25">
      <c r="L315" s="42"/>
    </row>
    <row r="316" spans="12:12" thickTop="1" thickBot="1" x14ac:dyDescent="0.25">
      <c r="L316" s="42"/>
    </row>
    <row r="318" spans="12:12" thickTop="1" thickBot="1" x14ac:dyDescent="0.25">
      <c r="L318" s="42"/>
    </row>
    <row r="319" spans="12:12" thickTop="1" thickBot="1" x14ac:dyDescent="0.25">
      <c r="L319" s="42"/>
    </row>
    <row r="320" spans="12:12" ht="15" x14ac:dyDescent="0.2"/>
    <row r="321" ht="15" x14ac:dyDescent="0.2"/>
    <row r="322" ht="15" x14ac:dyDescent="0.2"/>
    <row r="323" ht="15" x14ac:dyDescent="0.2"/>
    <row r="324" ht="15" x14ac:dyDescent="0.2"/>
    <row r="325" ht="15" x14ac:dyDescent="0.2"/>
    <row r="327" ht="15" x14ac:dyDescent="0.2"/>
    <row r="328" ht="15" x14ac:dyDescent="0.2"/>
    <row r="329" ht="15" x14ac:dyDescent="0.2"/>
    <row r="330" ht="15" x14ac:dyDescent="0.2"/>
  </sheetData>
  <autoFilter ref="A7:W114" xr:uid="{00000000-0009-0000-0000-000000000000}"/>
  <sortState xmlns:xlrd2="http://schemas.microsoft.com/office/spreadsheetml/2017/richdata2" ref="BF8:BN27">
    <sortCondition descending="1" ref="BJ8:BJ27"/>
    <sortCondition ref="BK8:BK27"/>
    <sortCondition ref="BG8:BG27"/>
  </sortState>
  <mergeCells count="13">
    <mergeCell ref="A5:B6"/>
    <mergeCell ref="AM6:AN6"/>
    <mergeCell ref="AF6:AG6"/>
    <mergeCell ref="T5:W6"/>
    <mergeCell ref="D5:J6"/>
    <mergeCell ref="AK6:AL6"/>
    <mergeCell ref="L5:R6"/>
    <mergeCell ref="BF5:BL6"/>
    <mergeCell ref="AT5:AT7"/>
    <mergeCell ref="AP5:AS6"/>
    <mergeCell ref="Y5:AD6"/>
    <mergeCell ref="AW5:BC6"/>
    <mergeCell ref="BD5:BD7"/>
  </mergeCells>
  <conditionalFormatting sqref="AJ8 AJ10 AJ12 AJ17 AJ14:AJ15">
    <cfRule type="cellIs" dxfId="64" priority="89" operator="equal">
      <formula>"YES!!!"</formula>
    </cfRule>
  </conditionalFormatting>
  <conditionalFormatting sqref="AJ8 AJ10 AJ12 AJ111 AJ14:AJ15 AJ98:AJ109 AJ78:AJ80 AJ91:AJ96 AJ17:AJ29 AJ82:AJ87 AJ31:AJ36 AJ38:AJ45">
    <cfRule type="cellIs" dxfId="63" priority="87" operator="equal">
      <formula>"Reject"</formula>
    </cfRule>
    <cfRule type="cellIs" dxfId="62" priority="88" operator="equal">
      <formula>"Reject"</formula>
    </cfRule>
  </conditionalFormatting>
  <conditionalFormatting sqref="AJ10 AJ12 AJ111 AJ14:AJ15 AJ1:AJ8 AJ98:AJ109 AJ78:AJ80 AJ91:AJ96 AJ17:AJ29 AJ82:AJ87 AJ113:AJ1048576 AJ31:AJ36 AJ38:AJ45">
    <cfRule type="cellIs" dxfId="61" priority="86" operator="equal">
      <formula>"YES!!!"</formula>
    </cfRule>
  </conditionalFormatting>
  <conditionalFormatting sqref="AJ112">
    <cfRule type="cellIs" dxfId="60" priority="81" operator="equal">
      <formula>"Reject"</formula>
    </cfRule>
    <cfRule type="cellIs" dxfId="59" priority="82" operator="equal">
      <formula>"Reject"</formula>
    </cfRule>
  </conditionalFormatting>
  <conditionalFormatting sqref="AJ112">
    <cfRule type="cellIs" dxfId="58" priority="80" operator="equal">
      <formula>"YES!!!"</formula>
    </cfRule>
  </conditionalFormatting>
  <conditionalFormatting sqref="AJ110">
    <cfRule type="cellIs" dxfId="57" priority="78" operator="equal">
      <formula>"Reject"</formula>
    </cfRule>
    <cfRule type="cellIs" dxfId="56" priority="79" operator="equal">
      <formula>"Reject"</formula>
    </cfRule>
  </conditionalFormatting>
  <conditionalFormatting sqref="AJ110">
    <cfRule type="cellIs" dxfId="55" priority="77" operator="equal">
      <formula>"YES!!!"</formula>
    </cfRule>
  </conditionalFormatting>
  <conditionalFormatting sqref="AJ88">
    <cfRule type="cellIs" dxfId="54" priority="75" operator="equal">
      <formula>"Reject"</formula>
    </cfRule>
    <cfRule type="cellIs" dxfId="53" priority="76" operator="equal">
      <formula>"Reject"</formula>
    </cfRule>
  </conditionalFormatting>
  <conditionalFormatting sqref="AJ88">
    <cfRule type="cellIs" dxfId="52" priority="74" operator="equal">
      <formula>"YES!!!"</formula>
    </cfRule>
  </conditionalFormatting>
  <conditionalFormatting sqref="AJ71">
    <cfRule type="cellIs" dxfId="51" priority="72" operator="equal">
      <formula>"Reject"</formula>
    </cfRule>
    <cfRule type="cellIs" dxfId="50" priority="73" operator="equal">
      <formula>"Reject"</formula>
    </cfRule>
  </conditionalFormatting>
  <conditionalFormatting sqref="AJ71">
    <cfRule type="cellIs" dxfId="49" priority="71" operator="equal">
      <formula>"YES!!!"</formula>
    </cfRule>
  </conditionalFormatting>
  <conditionalFormatting sqref="AJ16">
    <cfRule type="cellIs" dxfId="48" priority="69" operator="equal">
      <formula>"Reject"</formula>
    </cfRule>
    <cfRule type="cellIs" dxfId="47" priority="70" operator="equal">
      <formula>"Reject"</formula>
    </cfRule>
  </conditionalFormatting>
  <conditionalFormatting sqref="AJ16">
    <cfRule type="cellIs" dxfId="46" priority="68" operator="equal">
      <formula>"YES!!!"</formula>
    </cfRule>
  </conditionalFormatting>
  <conditionalFormatting sqref="AJ13">
    <cfRule type="cellIs" dxfId="45" priority="66" operator="equal">
      <formula>"Reject"</formula>
    </cfRule>
    <cfRule type="cellIs" dxfId="44" priority="67" operator="equal">
      <formula>"Reject"</formula>
    </cfRule>
  </conditionalFormatting>
  <conditionalFormatting sqref="AJ13">
    <cfRule type="cellIs" dxfId="43" priority="65" operator="equal">
      <formula>"YES!!!"</formula>
    </cfRule>
  </conditionalFormatting>
  <conditionalFormatting sqref="AJ9">
    <cfRule type="cellIs" dxfId="42" priority="63" operator="equal">
      <formula>"Reject"</formula>
    </cfRule>
    <cfRule type="cellIs" dxfId="41" priority="64" operator="equal">
      <formula>"Reject"</formula>
    </cfRule>
  </conditionalFormatting>
  <conditionalFormatting sqref="AJ9">
    <cfRule type="cellIs" dxfId="40" priority="62" operator="equal">
      <formula>"YES!!!"</formula>
    </cfRule>
  </conditionalFormatting>
  <conditionalFormatting sqref="AJ11">
    <cfRule type="cellIs" dxfId="39" priority="60" operator="equal">
      <formula>"Reject"</formula>
    </cfRule>
    <cfRule type="cellIs" dxfId="38" priority="61" operator="equal">
      <formula>"Reject"</formula>
    </cfRule>
  </conditionalFormatting>
  <conditionalFormatting sqref="AJ11">
    <cfRule type="cellIs" dxfId="37" priority="59" operator="equal">
      <formula>"YES!!!"</formula>
    </cfRule>
  </conditionalFormatting>
  <conditionalFormatting sqref="AJ72">
    <cfRule type="cellIs" dxfId="36" priority="57" operator="equal">
      <formula>"Reject"</formula>
    </cfRule>
    <cfRule type="cellIs" dxfId="35" priority="58" operator="equal">
      <formula>"Reject"</formula>
    </cfRule>
  </conditionalFormatting>
  <conditionalFormatting sqref="AJ72">
    <cfRule type="cellIs" dxfId="34" priority="56" operator="equal">
      <formula>"YES!!!"</formula>
    </cfRule>
  </conditionalFormatting>
  <conditionalFormatting sqref="AJ73">
    <cfRule type="cellIs" dxfId="33" priority="54" operator="equal">
      <formula>"Reject"</formula>
    </cfRule>
    <cfRule type="cellIs" dxfId="32" priority="55" operator="equal">
      <formula>"Reject"</formula>
    </cfRule>
  </conditionalFormatting>
  <conditionalFormatting sqref="AJ73">
    <cfRule type="cellIs" dxfId="31" priority="53" operator="equal">
      <formula>"YES!!!"</formula>
    </cfRule>
  </conditionalFormatting>
  <conditionalFormatting sqref="AJ89">
    <cfRule type="cellIs" dxfId="30" priority="51" operator="equal">
      <formula>"Reject"</formula>
    </cfRule>
    <cfRule type="cellIs" dxfId="29" priority="52" operator="equal">
      <formula>"Reject"</formula>
    </cfRule>
  </conditionalFormatting>
  <conditionalFormatting sqref="AJ89">
    <cfRule type="cellIs" dxfId="28" priority="50" operator="equal">
      <formula>"YES!!!"</formula>
    </cfRule>
  </conditionalFormatting>
  <conditionalFormatting sqref="AJ113">
    <cfRule type="cellIs" dxfId="27" priority="48" operator="equal">
      <formula>"Reject"</formula>
    </cfRule>
    <cfRule type="cellIs" dxfId="26" priority="49" operator="equal">
      <formula>"Reject"</formula>
    </cfRule>
  </conditionalFormatting>
  <conditionalFormatting sqref="AJ114">
    <cfRule type="cellIs" dxfId="25" priority="46" operator="equal">
      <formula>"Reject"</formula>
    </cfRule>
    <cfRule type="cellIs" dxfId="24" priority="47" operator="equal">
      <formula>"Reject"</formula>
    </cfRule>
  </conditionalFormatting>
  <conditionalFormatting sqref="AJ97">
    <cfRule type="cellIs" dxfId="23" priority="41" operator="equal">
      <formula>"Reject"</formula>
    </cfRule>
    <cfRule type="cellIs" dxfId="22" priority="42" operator="equal">
      <formula>"Reject"</formula>
    </cfRule>
  </conditionalFormatting>
  <conditionalFormatting sqref="AJ97">
    <cfRule type="cellIs" dxfId="21" priority="40" operator="equal">
      <formula>"YES!!!"</formula>
    </cfRule>
  </conditionalFormatting>
  <conditionalFormatting sqref="AJ90">
    <cfRule type="cellIs" dxfId="20" priority="38" operator="equal">
      <formula>"Reject"</formula>
    </cfRule>
    <cfRule type="cellIs" dxfId="19" priority="39" operator="equal">
      <formula>"Reject"</formula>
    </cfRule>
  </conditionalFormatting>
  <conditionalFormatting sqref="AJ90">
    <cfRule type="cellIs" dxfId="18" priority="37" operator="equal">
      <formula>"YES!!!"</formula>
    </cfRule>
  </conditionalFormatting>
  <conditionalFormatting sqref="AJ74">
    <cfRule type="cellIs" dxfId="17" priority="32" operator="equal">
      <formula>"Reject"</formula>
    </cfRule>
    <cfRule type="cellIs" dxfId="16" priority="33" operator="equal">
      <formula>"Reject"</formula>
    </cfRule>
  </conditionalFormatting>
  <conditionalFormatting sqref="AJ74">
    <cfRule type="cellIs" dxfId="15" priority="31" operator="equal">
      <formula>"YES!!!"</formula>
    </cfRule>
  </conditionalFormatting>
  <conditionalFormatting sqref="AJ75:AJ77">
    <cfRule type="cellIs" dxfId="14" priority="29" operator="equal">
      <formula>"Reject"</formula>
    </cfRule>
    <cfRule type="cellIs" dxfId="13" priority="30" operator="equal">
      <formula>"Reject"</formula>
    </cfRule>
  </conditionalFormatting>
  <conditionalFormatting sqref="AJ75:AJ77">
    <cfRule type="cellIs" dxfId="12" priority="28" operator="equal">
      <formula>"YES!!!"</formula>
    </cfRule>
  </conditionalFormatting>
  <conditionalFormatting sqref="AJ81">
    <cfRule type="cellIs" dxfId="11" priority="26" operator="equal">
      <formula>"Reject"</formula>
    </cfRule>
    <cfRule type="cellIs" dxfId="10" priority="27" operator="equal">
      <formula>"Reject"</formula>
    </cfRule>
  </conditionalFormatting>
  <conditionalFormatting sqref="AJ81">
    <cfRule type="cellIs" dxfId="9" priority="25" operator="equal">
      <formula>"YES!!!"</formula>
    </cfRule>
  </conditionalFormatting>
  <conditionalFormatting sqref="AJ37">
    <cfRule type="cellIs" dxfId="8" priority="11" operator="equal">
      <formula>"Reject"</formula>
    </cfRule>
    <cfRule type="cellIs" dxfId="7" priority="12" operator="equal">
      <formula>"Reject"</formula>
    </cfRule>
  </conditionalFormatting>
  <conditionalFormatting sqref="AJ37">
    <cfRule type="cellIs" dxfId="6" priority="10" operator="equal">
      <formula>"YES!!!"</formula>
    </cfRule>
  </conditionalFormatting>
  <conditionalFormatting sqref="AJ30">
    <cfRule type="cellIs" dxfId="5" priority="8" operator="equal">
      <formula>"Reject"</formula>
    </cfRule>
    <cfRule type="cellIs" dxfId="4" priority="9" operator="equal">
      <formula>"Reject"</formula>
    </cfRule>
  </conditionalFormatting>
  <conditionalFormatting sqref="AJ30">
    <cfRule type="cellIs" dxfId="3" priority="7" operator="equal">
      <formula>"YES!!!"</formula>
    </cfRule>
  </conditionalFormatting>
  <conditionalFormatting sqref="AJ46:AJ70">
    <cfRule type="cellIs" dxfId="2" priority="2" operator="equal">
      <formula>"Reject"</formula>
    </cfRule>
    <cfRule type="cellIs" dxfId="1" priority="3" operator="equal">
      <formula>"Reject"</formula>
    </cfRule>
  </conditionalFormatting>
  <conditionalFormatting sqref="AJ46:AJ70">
    <cfRule type="cellIs" dxfId="0" priority="1" operator="equal">
      <formula>"YES!!!"</formula>
    </cfRule>
  </conditionalFormatting>
  <hyperlinks>
    <hyperlink ref="B100" location="'Fresh Quality'!D249" display="'Fresh Quality'!D249" xr:uid="{00000000-0004-0000-0000-000000000000}"/>
    <hyperlink ref="B101" location="'Fresh Quality'!D252" display="'Fresh Quality'!D252" xr:uid="{00000000-0004-0000-0000-000001000000}"/>
    <hyperlink ref="B102" location="'Fresh Quality'!D309" display="'Fresh Quality'!D309" xr:uid="{00000000-0004-0000-0000-000002000000}"/>
    <hyperlink ref="B103" location="'Fresh Quality'!D312" display="'Fresh Quality'!D312" xr:uid="{00000000-0004-0000-0000-000003000000}"/>
    <hyperlink ref="B113" location="'Fresh Quality'!D276" display="'Fresh Quality'!D276" xr:uid="{00000000-0004-0000-0000-000004000000}"/>
    <hyperlink ref="B114" location="'Fresh Quality'!D279" display="'Fresh Quality'!D279" xr:uid="{00000000-0004-0000-0000-000005000000}"/>
    <hyperlink ref="B111" location="'Fresh Quality'!D306" display="'Fresh Quality'!D306" xr:uid="{00000000-0004-0000-0000-000006000000}"/>
    <hyperlink ref="B89" location="'Fresh Quality'!D297" display="'Fresh Quality'!D297" xr:uid="{00000000-0004-0000-0000-000007000000}"/>
    <hyperlink ref="B82" location="'Fresh Quality'!D294" display="'Fresh Quality'!D294" xr:uid="{00000000-0004-0000-0000-000008000000}"/>
    <hyperlink ref="B72" location="'Fresh Quality'!D261" display="'Fresh Quality'!D261" xr:uid="{00000000-0004-0000-0000-000009000000}"/>
    <hyperlink ref="B73" location="'Fresh Quality'!D273" display="'Fresh Quality'!D273" xr:uid="{00000000-0004-0000-0000-00000A000000}"/>
    <hyperlink ref="B50" location="'Fresh Quality'!D255" display="'Fresh Quality'!D255" xr:uid="{00000000-0004-0000-0000-00000B000000}"/>
    <hyperlink ref="B51" location="'Fresh Quality'!D258" display="'Fresh Quality'!D258" xr:uid="{00000000-0004-0000-0000-00000C000000}"/>
    <hyperlink ref="B55" location="'Fresh Quality'!D267" display="'Fresh Quality'!D267" xr:uid="{00000000-0004-0000-0000-00000D000000}"/>
    <hyperlink ref="B56" location="'Fresh Quality'!D270" display="'Fresh Quality'!D270" xr:uid="{00000000-0004-0000-0000-00000E000000}"/>
    <hyperlink ref="B28" location="'Fresh Quality'!D282" display="'Fresh Quality'!D282" xr:uid="{00000000-0004-0000-0000-00000F000000}"/>
    <hyperlink ref="B29" location="'Fresh Quality'!D285" display="'Fresh Quality'!D285" xr:uid="{00000000-0004-0000-0000-000010000000}"/>
    <hyperlink ref="B17" location="'Fresh Quality'!D291" display="'Fresh Quality'!D291" xr:uid="{00000000-0004-0000-0000-000011000000}"/>
    <hyperlink ref="B14" location="'Fresh Quality'!D264" display="'Fresh Quality'!D264" xr:uid="{00000000-0004-0000-0000-000012000000}"/>
    <hyperlink ref="B15" location="'Fresh Quality'!D288" display="'Fresh Quality'!D288" xr:uid="{00000000-0004-0000-0000-000013000000}"/>
    <hyperlink ref="B10" location="'Fresh Quality'!D300" display="'Fresh Quality'!D300" xr:uid="{00000000-0004-0000-0000-000014000000}"/>
    <hyperlink ref="B12" location="'Fresh Quality'!D303" display="'Fresh Quality'!D303" xr:uid="{00000000-0004-0000-0000-000015000000}"/>
    <hyperlink ref="G19" r:id="rId1" display="http://www.algaebase.org/browse/taxonomy/?id=4356" xr:uid="{00000000-0004-0000-0000-000016000000}"/>
    <hyperlink ref="G20" r:id="rId2" display="http://www.algaebase.org/browse/taxonomy/?id=4356" xr:uid="{00000000-0004-0000-0000-000017000000}"/>
    <hyperlink ref="B75" location="'Fresh Quality'!D177" display="'Fresh Quality'!D177" xr:uid="{00000000-0004-0000-0000-000018000000}"/>
    <hyperlink ref="B76" location="'Fresh Quality'!D183" display="'Fresh Quality'!D183" xr:uid="{00000000-0004-0000-0000-000019000000}"/>
    <hyperlink ref="B77" location="'Fresh Quality'!D192" display="'Fresh Quality'!D192" xr:uid="{00000000-0004-0000-0000-00001A000000}"/>
    <hyperlink ref="B80" location="'Fresh Quality'!D231" display="'Fresh Quality'!D231" xr:uid="{00000000-0004-0000-0000-00001B000000}"/>
    <hyperlink ref="B27" location="'Fresh Quality'!D234" display="'Fresh Quality'!D234" xr:uid="{00000000-0004-0000-0000-00001C000000}"/>
    <hyperlink ref="B26" location="'Fresh Quality'!D243" display="'Fresh Quality'!D243" xr:uid="{00000000-0004-0000-0000-00001D000000}"/>
    <hyperlink ref="B81" location="'Fresh Quality'!D231" display="'Fresh Quality'!D231" xr:uid="{00000000-0004-0000-0000-00001E000000}"/>
    <hyperlink ref="B57" location="'Fresh Quality'!D315" display="'Fresh Quality'!D315" xr:uid="{00000000-0004-0000-0000-00001F000000}"/>
    <hyperlink ref="B58" location="'Fresh Quality'!D318" display="'Fresh Quality'!D318" xr:uid="{00000000-0004-0000-0000-000020000000}"/>
    <hyperlink ref="B59" location="'Fresh Quality'!D321" display="'Fresh Quality'!D321" xr:uid="{00000000-0004-0000-0000-000021000000}"/>
    <hyperlink ref="B60" location="'Fresh Quality'!D324" display="'Fresh Quality'!D324" xr:uid="{00000000-0004-0000-0000-000022000000}"/>
    <hyperlink ref="B61" location="'Fresh Quality'!D327" display="'Fresh Quality'!D327" xr:uid="{00000000-0004-0000-0000-000023000000}"/>
    <hyperlink ref="B62" location="'Fresh Quality'!D330" display="'Fresh Quality'!D330" xr:uid="{00000000-0004-0000-0000-000024000000}"/>
    <hyperlink ref="B63" location="'Fresh Quality'!D333" display="'Fresh Quality'!D333" xr:uid="{00000000-0004-0000-0000-000025000000}"/>
    <hyperlink ref="B64" location="'Fresh Quality'!D336" display="'Fresh Quality'!D336" xr:uid="{00000000-0004-0000-0000-000026000000}"/>
    <hyperlink ref="B65" location="'Fresh Quality'!D342" display="'Fresh Quality'!D342" xr:uid="{00000000-0004-0000-0000-000027000000}"/>
    <hyperlink ref="B66" location="'Fresh Quality'!D345" display="'Fresh Quality'!D345" xr:uid="{00000000-0004-0000-0000-000028000000}"/>
    <hyperlink ref="B67" location="'Fresh Quality'!D348" display="'Fresh Quality'!D348" xr:uid="{00000000-0004-0000-0000-000029000000}"/>
  </hyperlinks>
  <pageMargins left="0.7" right="0.7" top="0.75" bottom="0.75" header="0.3" footer="0.3"/>
  <pageSetup paperSize="9" orientation="portrait"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3:O23"/>
  <sheetViews>
    <sheetView workbookViewId="0">
      <selection activeCell="D32" sqref="D32"/>
    </sheetView>
  </sheetViews>
  <sheetFormatPr baseColWidth="10" defaultColWidth="8.83203125" defaultRowHeight="15" x14ac:dyDescent="0.2"/>
  <cols>
    <col min="2" max="5" width="24.6640625" customWidth="1"/>
    <col min="9" max="11" width="22.33203125" customWidth="1"/>
  </cols>
  <sheetData>
    <row r="3" spans="2:15" x14ac:dyDescent="0.2">
      <c r="B3" s="165" t="s">
        <v>89</v>
      </c>
      <c r="C3" s="165"/>
      <c r="D3" s="165"/>
      <c r="E3" s="165"/>
      <c r="I3" s="166" t="s">
        <v>90</v>
      </c>
      <c r="J3" s="166"/>
      <c r="K3" s="166"/>
      <c r="M3" s="70" t="s">
        <v>166</v>
      </c>
      <c r="N3" s="70"/>
      <c r="O3" s="70"/>
    </row>
    <row r="4" spans="2:15" ht="48" x14ac:dyDescent="0.2">
      <c r="B4" s="32" t="s">
        <v>34</v>
      </c>
      <c r="C4" s="31" t="s">
        <v>12</v>
      </c>
      <c r="D4" s="31" t="s">
        <v>47</v>
      </c>
      <c r="E4" s="31" t="s">
        <v>14</v>
      </c>
      <c r="I4" s="55" t="s">
        <v>4</v>
      </c>
      <c r="J4" s="56" t="s">
        <v>86</v>
      </c>
      <c r="K4" s="56" t="s">
        <v>85</v>
      </c>
      <c r="M4" s="69" t="s">
        <v>167</v>
      </c>
      <c r="N4" s="69" t="s">
        <v>168</v>
      </c>
      <c r="O4" s="69" t="s">
        <v>169</v>
      </c>
    </row>
    <row r="5" spans="2:15" x14ac:dyDescent="0.2">
      <c r="B5" s="45"/>
      <c r="C5" s="45" t="s">
        <v>25</v>
      </c>
      <c r="D5" s="45">
        <v>1</v>
      </c>
      <c r="E5" s="45" t="s">
        <v>19</v>
      </c>
      <c r="I5" s="57" t="s">
        <v>79</v>
      </c>
      <c r="J5" s="57">
        <v>2</v>
      </c>
      <c r="K5" s="57">
        <v>1</v>
      </c>
      <c r="M5" t="s">
        <v>67</v>
      </c>
      <c r="N5" t="s">
        <v>67</v>
      </c>
      <c r="O5">
        <v>1</v>
      </c>
    </row>
    <row r="6" spans="2:15" x14ac:dyDescent="0.2">
      <c r="B6" s="83"/>
      <c r="C6" s="83" t="s">
        <v>151</v>
      </c>
      <c r="D6" s="83">
        <v>1</v>
      </c>
      <c r="E6" s="83" t="s">
        <v>19</v>
      </c>
      <c r="I6" s="57" t="s">
        <v>80</v>
      </c>
      <c r="J6" s="57">
        <v>3.5</v>
      </c>
      <c r="K6" s="57">
        <v>2</v>
      </c>
      <c r="M6" t="s">
        <v>66</v>
      </c>
      <c r="N6" t="s">
        <v>170</v>
      </c>
      <c r="O6">
        <v>1000</v>
      </c>
    </row>
    <row r="7" spans="2:15" x14ac:dyDescent="0.2">
      <c r="B7" s="45"/>
      <c r="C7" s="45" t="s">
        <v>48</v>
      </c>
      <c r="D7" s="45">
        <v>1</v>
      </c>
      <c r="E7" s="45" t="s">
        <v>19</v>
      </c>
      <c r="I7" s="57" t="s">
        <v>81</v>
      </c>
      <c r="J7" s="57">
        <v>6</v>
      </c>
      <c r="K7" s="57">
        <v>2</v>
      </c>
      <c r="M7" t="s">
        <v>161</v>
      </c>
      <c r="N7" t="s">
        <v>67</v>
      </c>
      <c r="O7">
        <v>1000</v>
      </c>
    </row>
    <row r="8" spans="2:15" x14ac:dyDescent="0.2">
      <c r="B8" s="45"/>
      <c r="C8" s="45" t="s">
        <v>21</v>
      </c>
      <c r="D8" s="45">
        <v>1</v>
      </c>
      <c r="E8" s="45" t="s">
        <v>19</v>
      </c>
      <c r="I8" s="57"/>
      <c r="J8" s="57"/>
      <c r="K8" s="57"/>
      <c r="M8" s="74" t="s">
        <v>159</v>
      </c>
      <c r="N8" t="s">
        <v>67</v>
      </c>
      <c r="O8">
        <v>1</v>
      </c>
    </row>
    <row r="9" spans="2:15" x14ac:dyDescent="0.2">
      <c r="B9" s="45"/>
      <c r="C9" s="45" t="s">
        <v>70</v>
      </c>
      <c r="D9" s="45">
        <v>1</v>
      </c>
      <c r="E9" s="45" t="s">
        <v>19</v>
      </c>
      <c r="I9" s="57" t="s">
        <v>82</v>
      </c>
      <c r="J9" s="57">
        <v>3</v>
      </c>
      <c r="K9" s="57" t="s">
        <v>266</v>
      </c>
    </row>
    <row r="10" spans="2:15" x14ac:dyDescent="0.2">
      <c r="B10" s="83"/>
      <c r="C10" s="83" t="s">
        <v>247</v>
      </c>
      <c r="D10" s="83">
        <v>1</v>
      </c>
      <c r="E10" s="83" t="s">
        <v>19</v>
      </c>
      <c r="I10" s="57" t="s">
        <v>83</v>
      </c>
      <c r="J10" s="57">
        <v>4.5</v>
      </c>
      <c r="K10" s="57">
        <v>4</v>
      </c>
    </row>
    <row r="11" spans="2:15" x14ac:dyDescent="0.2">
      <c r="B11" s="83"/>
      <c r="C11" s="83" t="s">
        <v>195</v>
      </c>
      <c r="D11" s="83">
        <v>2</v>
      </c>
      <c r="E11" s="83" t="s">
        <v>19</v>
      </c>
      <c r="I11" s="57" t="s">
        <v>84</v>
      </c>
      <c r="J11" s="57">
        <v>7</v>
      </c>
      <c r="K11" s="57">
        <v>4</v>
      </c>
    </row>
    <row r="12" spans="2:15" x14ac:dyDescent="0.2">
      <c r="B12" s="45"/>
      <c r="C12" s="45" t="s">
        <v>22</v>
      </c>
      <c r="D12" s="45">
        <v>2.5</v>
      </c>
      <c r="E12" s="45" t="s">
        <v>19</v>
      </c>
    </row>
    <row r="13" spans="2:15" x14ac:dyDescent="0.2">
      <c r="B13" s="45"/>
      <c r="C13" s="45"/>
      <c r="D13" s="45"/>
      <c r="E13" s="45"/>
    </row>
    <row r="14" spans="2:15" x14ac:dyDescent="0.2">
      <c r="B14" s="45"/>
      <c r="C14" s="45" t="s">
        <v>71</v>
      </c>
      <c r="D14" s="45">
        <v>2.5</v>
      </c>
      <c r="E14" s="45" t="s">
        <v>19</v>
      </c>
    </row>
    <row r="15" spans="2:15" x14ac:dyDescent="0.2">
      <c r="B15" s="45"/>
      <c r="C15" s="45" t="s">
        <v>15</v>
      </c>
      <c r="D15" s="45">
        <v>5</v>
      </c>
      <c r="E15" s="45" t="s">
        <v>19</v>
      </c>
    </row>
    <row r="16" spans="2:15" x14ac:dyDescent="0.2">
      <c r="B16" s="45"/>
      <c r="C16" s="45" t="s">
        <v>52</v>
      </c>
      <c r="D16" s="45">
        <v>1</v>
      </c>
      <c r="E16" s="45" t="s">
        <v>19</v>
      </c>
    </row>
    <row r="17" spans="2:5" x14ac:dyDescent="0.2">
      <c r="B17" s="45"/>
      <c r="C17" s="45" t="s">
        <v>20</v>
      </c>
      <c r="D17" s="45">
        <v>5</v>
      </c>
      <c r="E17" s="45" t="s">
        <v>19</v>
      </c>
    </row>
    <row r="18" spans="2:5" x14ac:dyDescent="0.2">
      <c r="B18" s="45"/>
      <c r="C18" s="45" t="s">
        <v>54</v>
      </c>
      <c r="D18" s="45">
        <v>1</v>
      </c>
      <c r="E18" s="45" t="s">
        <v>19</v>
      </c>
    </row>
    <row r="19" spans="2:5" x14ac:dyDescent="0.2">
      <c r="B19" s="45"/>
      <c r="C19" s="45" t="s">
        <v>55</v>
      </c>
      <c r="D19" s="45">
        <v>5</v>
      </c>
      <c r="E19" s="45" t="s">
        <v>19</v>
      </c>
    </row>
    <row r="20" spans="2:5" x14ac:dyDescent="0.2">
      <c r="B20" s="47" t="s">
        <v>50</v>
      </c>
      <c r="C20" s="44"/>
      <c r="D20" s="44"/>
      <c r="E20" s="46"/>
    </row>
    <row r="21" spans="2:5" x14ac:dyDescent="0.2">
      <c r="B21" s="44"/>
      <c r="C21" s="48" t="s">
        <v>23</v>
      </c>
      <c r="D21" s="48" t="s">
        <v>13</v>
      </c>
      <c r="E21" s="49" t="s">
        <v>24</v>
      </c>
    </row>
    <row r="22" spans="2:5" x14ac:dyDescent="0.2">
      <c r="B22" s="44"/>
      <c r="C22" s="45" t="s">
        <v>16</v>
      </c>
      <c r="D22" s="45">
        <v>1</v>
      </c>
      <c r="E22" s="45" t="s">
        <v>16</v>
      </c>
    </row>
    <row r="23" spans="2:5" x14ac:dyDescent="0.2">
      <c r="B23" s="44"/>
      <c r="C23" s="45" t="s">
        <v>49</v>
      </c>
      <c r="D23" s="45">
        <v>2</v>
      </c>
      <c r="E23" s="45" t="s">
        <v>16</v>
      </c>
    </row>
  </sheetData>
  <mergeCells count="2">
    <mergeCell ref="B3:E3"/>
    <mergeCell ref="I3:K3"/>
  </mergeCells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0CE4425B35D24EBCF2DD8B134666A9" ma:contentTypeVersion="7" ma:contentTypeDescription="Create a new document." ma:contentTypeScope="" ma:versionID="5081edc0e23586c8209cab0318aab2f8">
  <xsd:schema xmlns:xsd="http://www.w3.org/2001/XMLSchema" xmlns:xs="http://www.w3.org/2001/XMLSchema" xmlns:p="http://schemas.microsoft.com/office/2006/metadata/properties" xmlns:ns2="7abe1c14-588c-4f1b-baca-8d9bfb7262b1" targetNamespace="http://schemas.microsoft.com/office/2006/metadata/properties" ma:root="true" ma:fieldsID="2ebbb9a4c15a67c42b27abeb2ccaa078" ns2:_="">
    <xsd:import namespace="7abe1c14-588c-4f1b-baca-8d9bfb7262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Update" minOccurs="0"/>
                <xsd:element ref="ns2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be1c14-588c-4f1b-baca-8d9bfb7262b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Update" ma:index="12" nillable="true" ma:displayName="Document Updates" ma:description="Provide an update of the last changes made to the document" ma:format="Dropdown" ma:internalName="Update">
      <xsd:simpleType>
        <xsd:restriction base="dms:Note">
          <xsd:maxLength value="255"/>
        </xsd:restriction>
      </xsd:simpleType>
    </xsd:element>
    <xsd:element name="NextAction" ma:index="13" nillable="true" ma:displayName="Next Action" ma:description="Please selection the next action to take place." ma:format="Dropdown" ma:internalName="NextAction">
      <xsd:simpleType>
        <xsd:restriction base="dms:Choice">
          <xsd:enumeration value="For PCG review"/>
          <xsd:enumeration value="For WQPSC review"/>
          <xsd:enumeration value="For Editor review"/>
          <xsd:enumeration value="To consult with author"/>
          <xsd:enumeration value="Other issues"/>
          <xsd:enumeration value="For  Technical Manager review"/>
          <xsd:enumeration value="For ANZG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extAction xmlns="7abe1c14-588c-4f1b-baca-8d9bfb7262b1" xsi:nil="true"/>
    <Update xmlns="7abe1c14-588c-4f1b-baca-8d9bfb7262b1" xsi:nil="true"/>
  </documentManagement>
</p:properties>
</file>

<file path=customXml/itemProps1.xml><?xml version="1.0" encoding="utf-8"?>
<ds:datastoreItem xmlns:ds="http://schemas.openxmlformats.org/officeDocument/2006/customXml" ds:itemID="{3421BAA9-6BCF-4606-9953-F7EBF0D9E842}"/>
</file>

<file path=customXml/itemProps2.xml><?xml version="1.0" encoding="utf-8"?>
<ds:datastoreItem xmlns:ds="http://schemas.openxmlformats.org/officeDocument/2006/customXml" ds:itemID="{6905B8CC-42DC-442D-B070-68C3D84FFEF7}"/>
</file>

<file path=customXml/itemProps3.xml><?xml version="1.0" encoding="utf-8"?>
<ds:datastoreItem xmlns:ds="http://schemas.openxmlformats.org/officeDocument/2006/customXml" ds:itemID="{4F68B84C-46EE-4EEF-A55A-790CA2F0327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Metsulf-methyl_fresh_tox data</vt:lpstr>
      <vt:lpstr>Conversion tables</vt:lpstr>
    </vt:vector>
  </TitlesOfParts>
  <Company>DERM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Reviewer</dc:creator>
  <cp:lastModifiedBy>RvD</cp:lastModifiedBy>
  <dcterms:created xsi:type="dcterms:W3CDTF">2015-04-23T00:03:59Z</dcterms:created>
  <dcterms:modified xsi:type="dcterms:W3CDTF">2020-05-26T03:19:01Z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0x0101004E0CE4425B35D24EBCF2DD8B134666A9</vt:lpwstr>
  </property>
</Properties>
</file>